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08" yWindow="792" windowWidth="11292" windowHeight="6756" activeTab="0"/>
  </bookViews>
  <sheets>
    <sheet name="Attachment 1" sheetId="1" r:id="rId1"/>
    <sheet name="ARRA" sheetId="2" state="hidden" r:id="rId2"/>
    <sheet name="IFA TRANSFER" sheetId="3" state="hidden" r:id="rId3"/>
  </sheets>
  <definedNames>
    <definedName name="_xlnm._FilterDatabase" localSheetId="0" hidden="1">'Attachment 1'!$A$2:$O$187</definedName>
    <definedName name="_xlnm.Print_Area" localSheetId="1">'ARRA'!$A$1:$Q$46</definedName>
    <definedName name="_xlnm.Print_Area" localSheetId="0">'Attachment 1'!$A$1:$O$198</definedName>
    <definedName name="_xlnm.Print_Area" localSheetId="2">'IFA TRANSFER'!$A$1:$Q$55</definedName>
    <definedName name="Print_Area_MI" localSheetId="1">'ARRA'!$A$3:$Q$40</definedName>
    <definedName name="Print_Area_MI" localSheetId="2">'IFA TRANSFER'!$A$3:$Q$52</definedName>
    <definedName name="_xlnm.Print_Titles" localSheetId="1">'ARRA'!$1:$6</definedName>
    <definedName name="_xlnm.Print_Titles" localSheetId="0">'Attachment 1'!$1:$2</definedName>
    <definedName name="_xlnm.Print_Titles" localSheetId="2">'IFA TRANSFER'!$1:$6</definedName>
  </definedNames>
  <calcPr fullCalcOnLoad="1"/>
</workbook>
</file>

<file path=xl/comments2.xml><?xml version="1.0" encoding="utf-8"?>
<comments xmlns="http://schemas.openxmlformats.org/spreadsheetml/2006/main">
  <authors>
    <author>shirleychristoffersen</author>
    <author>Eboyd</author>
    <author>Shirley Christoffersen</author>
    <author>SChrist</author>
    <author>Boyd, Eunice </author>
  </authors>
  <commentList>
    <comment ref="S5" authorId="0">
      <text>
        <r>
          <rPr>
            <b/>
            <sz val="8"/>
            <rFont val="Tahoma"/>
            <family val="2"/>
          </rPr>
          <t>shirleychristoffersen:</t>
        </r>
        <r>
          <rPr>
            <sz val="8"/>
            <rFont val="Tahoma"/>
            <family val="2"/>
          </rPr>
          <t xml:space="preserve">
1 - less than 501
2 -        501 to    3,300
3 -     3,301 to  10,000
4   - 10,001 to 100,000
5 - 100,001 and above</t>
        </r>
      </text>
    </comment>
    <comment ref="J7" authorId="1">
      <text>
        <r>
          <rPr>
            <b/>
            <sz val="8"/>
            <rFont val="Tahoma"/>
            <family val="2"/>
          </rPr>
          <t>Eboyd:</t>
        </r>
        <r>
          <rPr>
            <sz val="8"/>
            <rFont val="Tahoma"/>
            <family val="2"/>
          </rPr>
          <t xml:space="preserve">
10/13/09 CAT EXCL
12/2/09 Reaffirmation of cat excl</t>
        </r>
      </text>
    </comment>
    <comment ref="J8" authorId="1">
      <text>
        <r>
          <rPr>
            <b/>
            <sz val="8"/>
            <rFont val="Tahoma"/>
            <family val="2"/>
          </rPr>
          <t>Eboyd:</t>
        </r>
        <r>
          <rPr>
            <sz val="8"/>
            <rFont val="Tahoma"/>
            <family val="2"/>
          </rPr>
          <t xml:space="preserve">
9-8-09 cat excl</t>
        </r>
      </text>
    </comment>
    <comment ref="C10" authorId="2">
      <text>
        <r>
          <rPr>
            <b/>
            <sz val="8"/>
            <rFont val="Tahoma"/>
            <family val="2"/>
          </rPr>
          <t xml:space="preserve">Shirley Christoffersen:
</t>
        </r>
        <r>
          <rPr>
            <sz val="8"/>
            <rFont val="Tahoma"/>
            <family val="2"/>
          </rPr>
          <t>2009 IUP Q2 Sep 2008</t>
        </r>
      </text>
    </comment>
    <comment ref="J12" authorId="1">
      <text>
        <r>
          <rPr>
            <b/>
            <sz val="8"/>
            <rFont val="Tahoma"/>
            <family val="2"/>
          </rPr>
          <t>Eboyd:</t>
        </r>
        <r>
          <rPr>
            <sz val="8"/>
            <rFont val="Tahoma"/>
            <family val="2"/>
          </rPr>
          <t xml:space="preserve">
9-18-09 cat excl</t>
        </r>
      </text>
    </comment>
    <comment ref="J13" authorId="1">
      <text>
        <r>
          <rPr>
            <b/>
            <sz val="8"/>
            <rFont val="Tahoma"/>
            <family val="2"/>
          </rPr>
          <t>Eboyd:</t>
        </r>
        <r>
          <rPr>
            <sz val="8"/>
            <rFont val="Tahoma"/>
            <family val="2"/>
          </rPr>
          <t xml:space="preserve">
8/31/09 cat excl</t>
        </r>
      </text>
    </comment>
    <comment ref="C14" authorId="2">
      <text>
        <r>
          <rPr>
            <b/>
            <sz val="8"/>
            <rFont val="Tahoma"/>
            <family val="2"/>
          </rPr>
          <t xml:space="preserve">Shirley Christoffersen:
</t>
        </r>
        <r>
          <rPr>
            <sz val="8"/>
            <rFont val="Tahoma"/>
            <family val="2"/>
          </rPr>
          <t xml:space="preserve">2008 IUP Q3 Dec 2007
</t>
        </r>
      </text>
    </comment>
    <comment ref="J14" authorId="1">
      <text>
        <r>
          <rPr>
            <b/>
            <sz val="8"/>
            <rFont val="Tahoma"/>
            <family val="2"/>
          </rPr>
          <t>Eboyd:</t>
        </r>
        <r>
          <rPr>
            <sz val="8"/>
            <rFont val="Tahoma"/>
            <family val="2"/>
          </rPr>
          <t xml:space="preserve">
4/8/09 cat excl
9/29/09 cat excl (meters)
</t>
        </r>
      </text>
    </comment>
    <comment ref="C15" authorId="2">
      <text>
        <r>
          <rPr>
            <b/>
            <sz val="8"/>
            <rFont val="Tahoma"/>
            <family val="2"/>
          </rPr>
          <t xml:space="preserve">Shirley Christoffersen:
</t>
        </r>
        <r>
          <rPr>
            <sz val="8"/>
            <rFont val="Tahoma"/>
            <family val="2"/>
          </rPr>
          <t>2006 IUP Q4 Update Mar 2006</t>
        </r>
      </text>
    </comment>
    <comment ref="J15" authorId="1">
      <text>
        <r>
          <rPr>
            <b/>
            <sz val="8"/>
            <rFont val="Tahoma"/>
            <family val="2"/>
          </rPr>
          <t>Eboyd:</t>
        </r>
        <r>
          <rPr>
            <sz val="8"/>
            <rFont val="Tahoma"/>
            <family val="2"/>
          </rPr>
          <t xml:space="preserve">
7/31/09 cat excl for "green project"-water meters</t>
        </r>
      </text>
    </comment>
    <comment ref="J16" authorId="1">
      <text>
        <r>
          <rPr>
            <b/>
            <sz val="8"/>
            <rFont val="Tahoma"/>
            <family val="2"/>
          </rPr>
          <t>Eboyd:</t>
        </r>
        <r>
          <rPr>
            <sz val="8"/>
            <rFont val="Tahoma"/>
            <family val="2"/>
          </rPr>
          <t xml:space="preserve">
8/12/09 cat excl</t>
        </r>
      </text>
    </comment>
    <comment ref="C20" authorId="2">
      <text>
        <r>
          <rPr>
            <b/>
            <sz val="8"/>
            <rFont val="Tahoma"/>
            <family val="2"/>
          </rPr>
          <t xml:space="preserve">Shirley Christoffersen:
</t>
        </r>
        <r>
          <rPr>
            <sz val="8"/>
            <rFont val="Tahoma"/>
            <family val="2"/>
          </rPr>
          <t xml:space="preserve">2008 IUP Q1 Jun 2007
</t>
        </r>
      </text>
    </comment>
    <comment ref="J20" authorId="3">
      <text>
        <r>
          <rPr>
            <b/>
            <sz val="8"/>
            <rFont val="Tahoma"/>
            <family val="2"/>
          </rPr>
          <t>SChrist:</t>
        </r>
        <r>
          <rPr>
            <sz val="8"/>
            <rFont val="Tahoma"/>
            <family val="2"/>
          </rPr>
          <t xml:space="preserve">
categorical exclusion</t>
        </r>
      </text>
    </comment>
    <comment ref="J21" authorId="1">
      <text>
        <r>
          <rPr>
            <b/>
            <sz val="8"/>
            <rFont val="Tahoma"/>
            <family val="2"/>
          </rPr>
          <t>Eboyd:</t>
        </r>
        <r>
          <rPr>
            <sz val="8"/>
            <rFont val="Tahoma"/>
            <family val="2"/>
          </rPr>
          <t xml:space="preserve">
8/5/09 cat excl</t>
        </r>
      </text>
    </comment>
    <comment ref="C24" authorId="2">
      <text>
        <r>
          <rPr>
            <b/>
            <sz val="8"/>
            <rFont val="Tahoma"/>
            <family val="2"/>
          </rPr>
          <t xml:space="preserve">Shirley Christoffersen:
</t>
        </r>
        <r>
          <rPr>
            <sz val="8"/>
            <rFont val="Tahoma"/>
            <family val="2"/>
          </rPr>
          <t>2007 IUP Q3 Dec 2006</t>
        </r>
      </text>
    </comment>
    <comment ref="K24" authorId="3">
      <text>
        <r>
          <rPr>
            <b/>
            <sz val="8"/>
            <rFont val="Tahoma"/>
            <family val="2"/>
          </rPr>
          <t>SChrist:</t>
        </r>
        <r>
          <rPr>
            <sz val="8"/>
            <rFont val="Tahoma"/>
            <family val="2"/>
          </rPr>
          <t xml:space="preserve">
04/08/09 5 alluvial wells &amp; 3 monitoring wells at WTP wellfield
04/20/09 5 MGD WTP, 5 new wells</t>
        </r>
      </text>
    </comment>
    <comment ref="L24" authorId="1">
      <text>
        <r>
          <rPr>
            <b/>
            <sz val="8"/>
            <rFont val="Tahoma"/>
            <family val="2"/>
          </rPr>
          <t>Eboyd:</t>
        </r>
        <r>
          <rPr>
            <sz val="8"/>
            <rFont val="Tahoma"/>
            <family val="2"/>
          </rPr>
          <t xml:space="preserve">
5/14/09 Well
7/14/09 RO Water Treatment Plant (stimulus)
</t>
        </r>
      </text>
    </comment>
    <comment ref="C25" authorId="2">
      <text>
        <r>
          <rPr>
            <b/>
            <sz val="8"/>
            <rFont val="Tahoma"/>
            <family val="2"/>
          </rPr>
          <t xml:space="preserve">Shirley Christoffersen:
</t>
        </r>
        <r>
          <rPr>
            <sz val="8"/>
            <rFont val="Tahoma"/>
            <family val="2"/>
          </rPr>
          <t xml:space="preserve">2007 IUP Q4 Update Mar 2007
</t>
        </r>
      </text>
    </comment>
    <comment ref="J25" authorId="1">
      <text>
        <r>
          <rPr>
            <b/>
            <sz val="8"/>
            <rFont val="Tahoma"/>
            <family val="2"/>
          </rPr>
          <t>Eboyd:</t>
        </r>
        <r>
          <rPr>
            <sz val="8"/>
            <rFont val="Tahoma"/>
            <family val="2"/>
          </rPr>
          <t xml:space="preserve">
2/11/09 Cat Excl issued</t>
        </r>
      </text>
    </comment>
    <comment ref="C26" authorId="2">
      <text>
        <r>
          <rPr>
            <b/>
            <sz val="8"/>
            <rFont val="Tahoma"/>
            <family val="2"/>
          </rPr>
          <t xml:space="preserve">Shirley Christoffersen:
</t>
        </r>
        <r>
          <rPr>
            <sz val="8"/>
            <rFont val="Tahoma"/>
            <family val="2"/>
          </rPr>
          <t>2008 IUP Q4 Mar 2008</t>
        </r>
      </text>
    </comment>
    <comment ref="K26" authorId="1">
      <text>
        <r>
          <rPr>
            <b/>
            <sz val="8"/>
            <rFont val="Tahoma"/>
            <family val="2"/>
          </rPr>
          <t>Eboyd:</t>
        </r>
        <r>
          <rPr>
            <sz val="8"/>
            <rFont val="Tahoma"/>
            <family val="2"/>
          </rPr>
          <t xml:space="preserve">
8/11/09 new water treatment plant</t>
        </r>
      </text>
    </comment>
    <comment ref="L26" authorId="1">
      <text>
        <r>
          <rPr>
            <b/>
            <sz val="8"/>
            <rFont val="Tahoma"/>
            <family val="2"/>
          </rPr>
          <t>Eboyd:</t>
        </r>
        <r>
          <rPr>
            <sz val="8"/>
            <rFont val="Tahoma"/>
            <family val="2"/>
          </rPr>
          <t xml:space="preserve">
2/24/09 Gehrke, Inc.
3/9/09 Maguire Iron, Inc.
2/24/09 Gingerich Well &amp; Pump Services, LLC.
10/12/2009 Woodruff Construction LLC (ARRA)
</t>
        </r>
      </text>
    </comment>
    <comment ref="J28" authorId="1">
      <text>
        <r>
          <rPr>
            <b/>
            <sz val="8"/>
            <rFont val="Tahoma"/>
            <family val="2"/>
          </rPr>
          <t>Eboyd:</t>
        </r>
        <r>
          <rPr>
            <sz val="8"/>
            <rFont val="Tahoma"/>
            <family val="2"/>
          </rPr>
          <t xml:space="preserve">
9-9-09 cat excl</t>
        </r>
      </text>
    </comment>
    <comment ref="C29" authorId="2">
      <text>
        <r>
          <rPr>
            <b/>
            <sz val="8"/>
            <rFont val="Tahoma"/>
            <family val="2"/>
          </rPr>
          <t xml:space="preserve">Shirley Christoffersen:
</t>
        </r>
        <r>
          <rPr>
            <sz val="8"/>
            <rFont val="Tahoma"/>
            <family val="2"/>
          </rPr>
          <t>2009 IUP Q2 Sep 2008</t>
        </r>
      </text>
    </comment>
    <comment ref="L29" authorId="1">
      <text>
        <r>
          <rPr>
            <b/>
            <sz val="8"/>
            <rFont val="Tahoma"/>
            <family val="2"/>
          </rPr>
          <t>Eboyd:</t>
        </r>
        <r>
          <rPr>
            <sz val="8"/>
            <rFont val="Tahoma"/>
            <family val="2"/>
          </rPr>
          <t xml:space="preserve">
7/27/09 Park st water main
9/18/09 elevated storage tank
1/14/10 E St water main</t>
        </r>
      </text>
    </comment>
    <comment ref="J31" authorId="1">
      <text>
        <r>
          <rPr>
            <b/>
            <sz val="8"/>
            <rFont val="Tahoma"/>
            <family val="2"/>
          </rPr>
          <t>Eboyd:</t>
        </r>
        <r>
          <rPr>
            <sz val="8"/>
            <rFont val="Tahoma"/>
            <family val="2"/>
          </rPr>
          <t xml:space="preserve">
9/1/09 cat excl</t>
        </r>
      </text>
    </comment>
    <comment ref="J33" authorId="1">
      <text>
        <r>
          <rPr>
            <b/>
            <sz val="8"/>
            <rFont val="Tahoma"/>
            <family val="2"/>
          </rPr>
          <t>Eboyd:</t>
        </r>
        <r>
          <rPr>
            <sz val="8"/>
            <rFont val="Tahoma"/>
            <family val="2"/>
          </rPr>
          <t xml:space="preserve">
10/29/08 Cat Excl
10/6/09 cat excl water meters &amp; RF</t>
        </r>
      </text>
    </comment>
    <comment ref="L33" authorId="2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08/19/08 Shawver Well Co
06/29/09 Krudico
</t>
        </r>
      </text>
    </comment>
    <comment ref="J34" authorId="1">
      <text>
        <r>
          <rPr>
            <b/>
            <sz val="8"/>
            <rFont val="Tahoma"/>
            <family val="2"/>
          </rPr>
          <t>Eboyd:</t>
        </r>
        <r>
          <rPr>
            <sz val="8"/>
            <rFont val="Tahoma"/>
            <family val="2"/>
          </rPr>
          <t xml:space="preserve">
7/29/09 cat excl </t>
        </r>
      </text>
    </comment>
    <comment ref="J35" authorId="1">
      <text>
        <r>
          <rPr>
            <b/>
            <sz val="8"/>
            <rFont val="Tahoma"/>
            <family val="2"/>
          </rPr>
          <t>Eboyd:</t>
        </r>
        <r>
          <rPr>
            <sz val="8"/>
            <rFont val="Tahoma"/>
            <family val="2"/>
          </rPr>
          <t xml:space="preserve">
8/12/09 cat excl</t>
        </r>
      </text>
    </comment>
    <comment ref="C36" authorId="2">
      <text>
        <r>
          <rPr>
            <b/>
            <sz val="8"/>
            <rFont val="Tahoma"/>
            <family val="2"/>
          </rPr>
          <t xml:space="preserve">Shirley Christoffersen:
</t>
        </r>
        <r>
          <rPr>
            <sz val="8"/>
            <rFont val="Tahoma"/>
            <family val="2"/>
          </rPr>
          <t xml:space="preserve">2008 IUP Q2 Aug 2007
</t>
        </r>
      </text>
    </comment>
    <comment ref="C40" authorId="2">
      <text>
        <r>
          <rPr>
            <b/>
            <sz val="8"/>
            <rFont val="Tahoma"/>
            <family val="2"/>
          </rPr>
          <t xml:space="preserve">Shirley Christoffersen:
</t>
        </r>
        <r>
          <rPr>
            <sz val="8"/>
            <rFont val="Tahoma"/>
            <family val="2"/>
          </rPr>
          <t>2008 IUP Q4 Mar 2008</t>
        </r>
      </text>
    </comment>
    <comment ref="J42" authorId="1">
      <text>
        <r>
          <rPr>
            <b/>
            <sz val="8"/>
            <rFont val="Tahoma"/>
            <family val="2"/>
          </rPr>
          <t>Eboyd:</t>
        </r>
        <r>
          <rPr>
            <sz val="8"/>
            <rFont val="Tahoma"/>
            <family val="2"/>
          </rPr>
          <t xml:space="preserve">
9-16-09 cat excl</t>
        </r>
      </text>
    </comment>
    <comment ref="L43" authorId="1">
      <text>
        <r>
          <rPr>
            <b/>
            <sz val="8"/>
            <rFont val="Tahoma"/>
            <family val="2"/>
          </rPr>
          <t>Eboyd:</t>
        </r>
        <r>
          <rPr>
            <sz val="8"/>
            <rFont val="Tahoma"/>
            <family val="2"/>
          </rPr>
          <t xml:space="preserve">
7/29/09 Contract C
8/10/09 Contract A
9/14/09 Contract B
12/18/09 Contract D</t>
        </r>
      </text>
    </comment>
    <comment ref="H49" authorId="2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less annual unused construction loan proceeds
</t>
        </r>
      </text>
    </comment>
    <comment ref="J17" authorId="1">
      <text>
        <r>
          <rPr>
            <b/>
            <sz val="8"/>
            <rFont val="Tahoma"/>
            <family val="2"/>
          </rPr>
          <t>Eboyd:</t>
        </r>
        <r>
          <rPr>
            <sz val="8"/>
            <rFont val="Tahoma"/>
            <family val="2"/>
          </rPr>
          <t xml:space="preserve">
10-29-09 cat excl</t>
        </r>
      </text>
    </comment>
    <comment ref="H25" authorId="1">
      <text>
        <r>
          <rPr>
            <b/>
            <sz val="8"/>
            <rFont val="Tahoma"/>
            <family val="2"/>
          </rPr>
          <t>Eboyd:</t>
        </r>
        <r>
          <rPr>
            <sz val="8"/>
            <rFont val="Tahoma"/>
            <family val="2"/>
          </rPr>
          <t xml:space="preserve">
07/01/09 $1,560,000 BASE 3%
11/04/09 $1,040,000 ARRA FL</t>
        </r>
      </text>
    </comment>
    <comment ref="L10" authorId="1">
      <text>
        <r>
          <rPr>
            <b/>
            <sz val="8"/>
            <rFont val="Tahoma"/>
            <family val="2"/>
          </rPr>
          <t>Eboyd:</t>
        </r>
        <r>
          <rPr>
            <sz val="8"/>
            <rFont val="Tahoma"/>
            <family val="2"/>
          </rPr>
          <t xml:space="preserve">
8-15-09 water main
4-28-09 generator</t>
        </r>
      </text>
    </comment>
    <comment ref="J19" authorId="1">
      <text>
        <r>
          <rPr>
            <b/>
            <sz val="8"/>
            <rFont val="Tahoma"/>
            <family val="2"/>
          </rPr>
          <t>Eboyd:</t>
        </r>
        <r>
          <rPr>
            <sz val="8"/>
            <rFont val="Tahoma"/>
            <family val="2"/>
          </rPr>
          <t xml:space="preserve">
11/23/09 Reaffirmation</t>
        </r>
      </text>
    </comment>
    <comment ref="J29" authorId="1">
      <text>
        <r>
          <rPr>
            <b/>
            <sz val="8"/>
            <rFont val="Tahoma"/>
            <family val="2"/>
          </rPr>
          <t>Eboyd:</t>
        </r>
        <r>
          <rPr>
            <sz val="8"/>
            <rFont val="Tahoma"/>
            <family val="2"/>
          </rPr>
          <t xml:space="preserve">
11/23/09 Reaffirmation</t>
        </r>
      </text>
    </comment>
    <comment ref="L36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12/1/09 Garney Companies Inc.</t>
        </r>
      </text>
    </comment>
    <comment ref="J30" authorId="1">
      <text>
        <r>
          <rPr>
            <b/>
            <sz val="8"/>
            <rFont val="Tahoma"/>
            <family val="2"/>
          </rPr>
          <t>Eboyd:</t>
        </r>
        <r>
          <rPr>
            <sz val="8"/>
            <rFont val="Tahoma"/>
            <family val="2"/>
          </rPr>
          <t xml:space="preserve">
11-2-09 cat excl</t>
        </r>
      </text>
    </comment>
    <comment ref="L38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11/30/09 all 3 constracts</t>
        </r>
      </text>
    </comment>
    <comment ref="L8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1/6/10 Jetco, Inc.</t>
        </r>
      </text>
    </comment>
    <comment ref="K12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DW green</t>
        </r>
      </text>
    </comment>
    <comment ref="K17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DW green</t>
        </r>
      </text>
    </comment>
    <comment ref="K31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DW green</t>
        </r>
      </text>
    </comment>
    <comment ref="K29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7/22/09 park st
10/27/09 elevated tower
12/30/09 E st water main</t>
        </r>
      </text>
    </comment>
    <comment ref="K35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DW Green</t>
        </r>
      </text>
    </comment>
    <comment ref="K34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DW Green</t>
        </r>
      </text>
    </comment>
    <comment ref="K8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DW Green</t>
        </r>
      </text>
    </comment>
    <comment ref="K13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DW Green</t>
        </r>
      </text>
    </comment>
    <comment ref="K42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DW Green</t>
        </r>
      </text>
    </comment>
    <comment ref="H13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11/18/09 $404,000 BASE 3%
01/13/10 $100,000  ARRA FL</t>
        </r>
      </text>
    </comment>
    <comment ref="K28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DW Green</t>
        </r>
      </text>
    </comment>
    <comment ref="H14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$285,000 BASE 3%
$122,000 ARRA FL</t>
        </r>
      </text>
    </comment>
    <comment ref="H37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$793,000 BASE 3%
$337,000 ARRA FL</t>
        </r>
      </text>
    </comment>
    <comment ref="K16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DW Green</t>
        </r>
      </text>
    </comment>
    <comment ref="L17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1/3/10 purchase of equipment</t>
        </r>
      </text>
    </comment>
    <comment ref="H7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$272,000 BASE 3% 
$ 68,000 ARRA FL</t>
        </r>
      </text>
    </comment>
    <comment ref="H8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$200,000 BASE 3% 
$ 50,000 ARRA FL</t>
        </r>
      </text>
    </comment>
    <comment ref="H10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$2,082,000 BASE 3% 
$   884,000 ARRA FL</t>
        </r>
      </text>
    </comment>
    <comment ref="H15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05/06/09 $558,000 BASE 3%
09/09/09 $  97,000 BASE 3%
10/28/09 $432,000 ARRA FL</t>
        </r>
      </text>
    </comment>
    <comment ref="H16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$430,000 BASE 3% 
$107,000 ARRA FL</t>
        </r>
      </text>
    </comment>
    <comment ref="H17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$4,676,000 BASE 3% 
$3,000,000 ARRA 3%
$1,000,000 ARRA FL</t>
        </r>
      </text>
    </comment>
    <comment ref="H19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$353,000 BASE 3%
$197,000 ARRA FL</t>
        </r>
      </text>
    </comment>
    <comment ref="H20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$210,000 BASE 3%
$  90,000 ARRA FL</t>
        </r>
      </text>
    </comment>
    <comment ref="H21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$139,000 BASE 3% 
$  35,000 ARRA FL</t>
        </r>
      </text>
    </comment>
    <comment ref="H22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07/29/09 $200,000 BASE 3%
10/29/09 $200,000  ARRA FL</t>
        </r>
      </text>
    </comment>
    <comment ref="C23" authorId="2">
      <text>
        <r>
          <rPr>
            <b/>
            <sz val="8"/>
            <rFont val="Tahoma"/>
            <family val="2"/>
          </rPr>
          <t xml:space="preserve">Shirley Christoffersen:
</t>
        </r>
        <r>
          <rPr>
            <sz val="8"/>
            <rFont val="Tahoma"/>
            <family val="2"/>
          </rPr>
          <t>2007 IUP Q3 Dec 2006</t>
        </r>
      </text>
    </comment>
    <comment ref="H23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10/14/09 $4,589,000 BASE 3%
10/14/09 $5,083,000 ARRA 3%
11/18/09 $2,000,000 ARRA FL</t>
        </r>
      </text>
    </comment>
    <comment ref="K23" authorId="3">
      <text>
        <r>
          <rPr>
            <b/>
            <sz val="8"/>
            <rFont val="Tahoma"/>
            <family val="2"/>
          </rPr>
          <t>SChrist:</t>
        </r>
        <r>
          <rPr>
            <sz val="8"/>
            <rFont val="Tahoma"/>
            <family val="2"/>
          </rPr>
          <t xml:space="preserve">
04/08/09 5 alluvial wells &amp; 3 monitoring wells at WTP wellfield
04/20/09 5 MGD WTP, 5 new wells</t>
        </r>
      </text>
    </comment>
    <comment ref="L23" authorId="1">
      <text>
        <r>
          <rPr>
            <b/>
            <sz val="8"/>
            <rFont val="Tahoma"/>
            <family val="2"/>
          </rPr>
          <t>Eboyd:</t>
        </r>
        <r>
          <rPr>
            <sz val="8"/>
            <rFont val="Tahoma"/>
            <family val="2"/>
          </rPr>
          <t xml:space="preserve">
5/14/09 Well
7/14/09 RO Water Treatment Plant (stimulus)
</t>
        </r>
      </text>
    </comment>
    <comment ref="H24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10/14/09 $4,589,000 BASE 3%
10/14/09 $5,083,000 ARRA 3%
11/18/09 $2,000,000 ARRA FL</t>
        </r>
      </text>
    </comment>
    <comment ref="H26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$498,000  ARRA 3%
(125,000) ARRA 3% to CIWA 09/2011)
$330,000  ARRA FL</t>
        </r>
      </text>
    </comment>
    <comment ref="H28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$183,000 BASE 3% 
$  46,000 ARRA FL</t>
        </r>
      </text>
    </comment>
    <comment ref="H29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$3,777,000 BASE 3%
$1,603,000  ARRA FL</t>
        </r>
      </text>
    </comment>
    <comment ref="H30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$251,000 BASE 3%
$249,000  ARRA FL</t>
        </r>
      </text>
    </comment>
    <comment ref="H31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$61,000 BASE 3% 
$13,000 ARRA FL</t>
        </r>
      </text>
    </comment>
    <comment ref="H32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$293,000 BASE 3%
$194,000  ARRA FL</t>
        </r>
      </text>
    </comment>
    <comment ref="H33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$695,000  BASE 3%
$459,000  ARRA FL</t>
        </r>
      </text>
    </comment>
    <comment ref="H34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$373,000 BASE 3% 
$  93,000 ARRA FL</t>
        </r>
      </text>
    </comment>
    <comment ref="H35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$82,000  BASE 3%
$21,000  ARRA FL</t>
        </r>
      </text>
    </comment>
    <comment ref="H36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$2,644,000 BASE 3%
$2,000,000  ARRA FL</t>
        </r>
      </text>
    </comment>
    <comment ref="H38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$251,000 BASE 3%
$167,000 ARRA FL</t>
        </r>
      </text>
    </comment>
    <comment ref="H39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$4,204,000 BASE 3%
$1,785,000  ARRA FL</t>
        </r>
      </text>
    </comment>
    <comment ref="H40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$467,000 BASE 3%
$308,000 ARRA FL</t>
        </r>
      </text>
    </comment>
    <comment ref="H41" authorId="1">
      <text>
        <r>
          <rPr>
            <b/>
            <sz val="8"/>
            <rFont val="Tahoma"/>
            <family val="2"/>
          </rPr>
          <t>Eboyd:</t>
        </r>
        <r>
          <rPr>
            <sz val="8"/>
            <rFont val="Tahoma"/>
            <family val="2"/>
          </rPr>
          <t xml:space="preserve">
12/09/09 $836,000 BASE 3%
01/13/10 $355,000 ARRA FL</t>
        </r>
      </text>
    </comment>
    <comment ref="H42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$1,339,000 BASE 3% 
$   332,000 ARRA FL</t>
        </r>
      </text>
    </comment>
    <comment ref="H43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08/05/09 $473,000 BASE 3%
10/14/09 $312,000 ARRA FL</t>
        </r>
      </text>
    </comment>
    <comment ref="L13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1/21/10 Municipal Supply
5/12/10 Total Backflow Resources</t>
        </r>
      </text>
    </comment>
    <comment ref="H9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$200,000 BASE 3% 
$ 50,000 ARRA FL</t>
        </r>
      </text>
    </comment>
    <comment ref="K9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DW Green</t>
        </r>
      </text>
    </comment>
    <comment ref="L9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1/6/10 Jetco, Inc.</t>
        </r>
      </text>
    </comment>
    <comment ref="I23" authorId="2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incls base initiation fee</t>
        </r>
      </text>
    </comment>
    <comment ref="I17" authorId="2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incls base intiation fee </t>
        </r>
      </text>
    </comment>
    <comment ref="H18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$4,676,000 BASE 3% 
$3,000,000 ARRA 3%
$1,000,000 ARRA FL</t>
        </r>
      </text>
    </comment>
    <comment ref="I18" authorId="2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incls base intiation fee </t>
        </r>
      </text>
    </comment>
    <comment ref="K18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DW green</t>
        </r>
      </text>
    </comment>
    <comment ref="L18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1/3/10 purchase of equipment</t>
        </r>
      </text>
    </comment>
    <comment ref="C27" authorId="2">
      <text>
        <r>
          <rPr>
            <b/>
            <sz val="8"/>
            <rFont val="Tahoma"/>
            <family val="2"/>
          </rPr>
          <t xml:space="preserve">Shirley Christoffersen:
</t>
        </r>
        <r>
          <rPr>
            <sz val="8"/>
            <rFont val="Tahoma"/>
            <family val="2"/>
          </rPr>
          <t>2008 IUP Q4 Mar 2008</t>
        </r>
      </text>
    </comment>
    <comment ref="H27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$498,000  ARRA 3%
$330,000  ARRA FL</t>
        </r>
      </text>
    </comment>
    <comment ref="K27" authorId="1">
      <text>
        <r>
          <rPr>
            <b/>
            <sz val="8"/>
            <rFont val="Tahoma"/>
            <family val="2"/>
          </rPr>
          <t>Eboyd:</t>
        </r>
        <r>
          <rPr>
            <sz val="8"/>
            <rFont val="Tahoma"/>
            <family val="2"/>
          </rPr>
          <t xml:space="preserve">
8/11/09 new water treatment plant</t>
        </r>
      </text>
    </comment>
    <comment ref="L27" authorId="1">
      <text>
        <r>
          <rPr>
            <b/>
            <sz val="8"/>
            <rFont val="Tahoma"/>
            <family val="2"/>
          </rPr>
          <t>Eboyd:</t>
        </r>
        <r>
          <rPr>
            <sz val="8"/>
            <rFont val="Tahoma"/>
            <family val="2"/>
          </rPr>
          <t xml:space="preserve">
2/24/09 Gehrke, Inc.
3/9/09 Maguire Iron, Inc.
2/24/09 Gingerich Well &amp; Pump Services, LLC.
10/12/2009 Woodruff Construction LLC (ARRA)
</t>
        </r>
      </text>
    </comment>
    <comment ref="J9" authorId="1">
      <text>
        <r>
          <rPr>
            <b/>
            <sz val="8"/>
            <rFont val="Tahoma"/>
            <family val="2"/>
          </rPr>
          <t>Eboyd:</t>
        </r>
        <r>
          <rPr>
            <sz val="8"/>
            <rFont val="Tahoma"/>
            <family val="2"/>
          </rPr>
          <t xml:space="preserve">
9-8-09 cat excl</t>
        </r>
      </text>
    </comment>
    <comment ref="J18" authorId="1">
      <text>
        <r>
          <rPr>
            <b/>
            <sz val="8"/>
            <rFont val="Tahoma"/>
            <family val="2"/>
          </rPr>
          <t>Eboyd:</t>
        </r>
        <r>
          <rPr>
            <sz val="8"/>
            <rFont val="Tahoma"/>
            <family val="2"/>
          </rPr>
          <t xml:space="preserve">
10-29-09 cat excl</t>
        </r>
      </text>
    </comment>
    <comment ref="H11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$3,038,000 BASE 3% 
$   125,000 ARRA 3%
$    783,000 ARRA FL</t>
        </r>
      </text>
    </comment>
    <comment ref="J11" authorId="1">
      <text>
        <r>
          <rPr>
            <b/>
            <sz val="8"/>
            <rFont val="Tahoma"/>
            <family val="2"/>
          </rPr>
          <t>Eboyd:</t>
        </r>
        <r>
          <rPr>
            <sz val="8"/>
            <rFont val="Tahoma"/>
            <family val="2"/>
          </rPr>
          <t xml:space="preserve">
9-18-09 cat excl</t>
        </r>
      </text>
    </comment>
    <comment ref="K11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DW green</t>
        </r>
      </text>
    </comment>
    <comment ref="H12" authorId="4">
      <text>
        <r>
          <rPr>
            <b/>
            <sz val="8"/>
            <rFont val="Tahoma"/>
            <family val="2"/>
          </rPr>
          <t>Boyd, Eunice :</t>
        </r>
        <r>
          <rPr>
            <sz val="8"/>
            <rFont val="Tahoma"/>
            <family val="2"/>
          </rPr>
          <t xml:space="preserve">
$3,038,000 BASE 3% 
$   125,000 ARRA 3%
$    783,000 ARRA FL</t>
        </r>
      </text>
    </comment>
  </commentList>
</comments>
</file>

<file path=xl/comments3.xml><?xml version="1.0" encoding="utf-8"?>
<comments xmlns="http://schemas.openxmlformats.org/spreadsheetml/2006/main">
  <authors>
    <author>Iowa DNR User</author>
    <author>Shirley Christoffersen</author>
  </authors>
  <commentList>
    <comment ref="D15" authorId="0">
      <text>
        <r>
          <rPr>
            <b/>
            <sz val="8"/>
            <rFont val="Tahoma"/>
            <family val="2"/>
          </rPr>
          <t>Iowa DNR User:</t>
        </r>
        <r>
          <rPr>
            <sz val="8"/>
            <rFont val="Tahoma"/>
            <family val="2"/>
          </rPr>
          <t xml:space="preserve">
letter of request</t>
        </r>
      </text>
    </comment>
    <comment ref="L32" authorId="0">
      <text>
        <r>
          <rPr>
            <b/>
            <sz val="8"/>
            <rFont val="Tahoma"/>
            <family val="2"/>
          </rPr>
          <t>Iowa DNR User:</t>
        </r>
        <r>
          <rPr>
            <sz val="8"/>
            <rFont val="Tahoma"/>
            <family val="2"/>
          </rPr>
          <t xml:space="preserve">
12/05/02 water plant</t>
        </r>
      </text>
    </comment>
    <comment ref="J8" authorId="0">
      <text>
        <r>
          <rPr>
            <b/>
            <sz val="8"/>
            <rFont val="Tahoma"/>
            <family val="2"/>
          </rPr>
          <t>Iowa DNR User:</t>
        </r>
        <r>
          <rPr>
            <sz val="8"/>
            <rFont val="Tahoma"/>
            <family val="2"/>
          </rPr>
          <t xml:space="preserve">
8/24/03 FONSI adding elevated water storage tank</t>
        </r>
      </text>
    </comment>
    <comment ref="A44" authorId="0">
      <text>
        <r>
          <rPr>
            <b/>
            <sz val="8"/>
            <rFont val="Tahoma"/>
            <family val="2"/>
          </rPr>
          <t>Iowa DNR User:</t>
        </r>
        <r>
          <rPr>
            <sz val="8"/>
            <rFont val="Tahoma"/>
            <family val="2"/>
          </rPr>
          <t xml:space="preserve">
Karen Culpepper, Clerk
Auth Rep</t>
        </r>
      </text>
    </comment>
    <comment ref="G32" authorId="0">
      <text>
        <r>
          <rPr>
            <b/>
            <sz val="8"/>
            <rFont val="Tahoma"/>
            <family val="2"/>
          </rPr>
          <t>Iowa DNR User:</t>
        </r>
        <r>
          <rPr>
            <sz val="8"/>
            <rFont val="Tahoma"/>
            <family val="2"/>
          </rPr>
          <t xml:space="preserve">
city taxable issue</t>
        </r>
      </text>
    </comment>
    <comment ref="K8" authorId="0">
      <text>
        <r>
          <rPr>
            <b/>
            <sz val="8"/>
            <rFont val="Tahoma"/>
            <family val="2"/>
          </rPr>
          <t>Iowa DNR User:</t>
        </r>
        <r>
          <rPr>
            <sz val="8"/>
            <rFont val="Tahoma"/>
            <family val="2"/>
          </rPr>
          <t xml:space="preserve">
10/14/03 water main &amp; elevated storage tank</t>
        </r>
      </text>
    </comment>
    <comment ref="L21" authorId="0">
      <text>
        <r>
          <rPr>
            <b/>
            <sz val="8"/>
            <rFont val="Tahoma"/>
            <family val="2"/>
          </rPr>
          <t>Iowa DNR User:</t>
        </r>
        <r>
          <rPr>
            <sz val="8"/>
            <rFont val="Tahoma"/>
            <family val="2"/>
          </rPr>
          <t xml:space="preserve">
6/23/03 water main</t>
        </r>
      </text>
    </comment>
    <comment ref="L53" authorId="0">
      <text>
        <r>
          <rPr>
            <b/>
            <sz val="8"/>
            <rFont val="Tahoma"/>
            <family val="2"/>
          </rPr>
          <t xml:space="preserve">Iowa DNR User:
</t>
        </r>
        <r>
          <rPr>
            <sz val="8"/>
            <rFont val="Tahoma"/>
            <family val="2"/>
          </rPr>
          <t xml:space="preserve">02/05/02  Phase 1 Waldinger 
07/23/02  Phase 2 Brown Commercial
11/30/02  18th St WM / D A Davis 
01/14/03  Phase 3 CAS Construction
03/03/03  Grandview to 38th St Res/ Concrete Specialty
01/10/05  38th St Resr Connection/Lessard
</t>
        </r>
      </text>
    </comment>
    <comment ref="K32" authorId="0">
      <text>
        <r>
          <rPr>
            <b/>
            <sz val="8"/>
            <rFont val="Tahoma"/>
            <family val="2"/>
          </rPr>
          <t>Iowa DNR User:</t>
        </r>
        <r>
          <rPr>
            <sz val="8"/>
            <rFont val="Tahoma"/>
            <family val="2"/>
          </rPr>
          <t xml:space="preserve">
10/22/02 - WTP Imprv
11/14/03 - Well #16
            (not SRF funded)</t>
        </r>
      </text>
    </comment>
    <comment ref="L8" authorId="0">
      <text>
        <r>
          <rPr>
            <b/>
            <sz val="8"/>
            <rFont val="Tahoma"/>
            <family val="2"/>
          </rPr>
          <t>Iowa DNR User:</t>
        </r>
        <r>
          <rPr>
            <sz val="8"/>
            <rFont val="Tahoma"/>
            <family val="2"/>
          </rPr>
          <t xml:space="preserve">
9/08/03 - water tank
9/09/03 - watermain/grading</t>
        </r>
      </text>
    </comment>
    <comment ref="K20" authorId="0">
      <text>
        <r>
          <rPr>
            <b/>
            <sz val="8"/>
            <rFont val="Tahoma"/>
            <family val="2"/>
          </rPr>
          <t>Iowa DNR User:</t>
        </r>
        <r>
          <rPr>
            <sz val="8"/>
            <rFont val="Tahoma"/>
            <family val="2"/>
          </rPr>
          <t xml:space="preserve">
 9/05/01 well #5 
 3/20/02 transmission main
 5/15/02 water treatment plant
 9/19/02 water plant force main</t>
        </r>
      </text>
    </comment>
    <comment ref="K44" authorId="1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09/30/03 water main
07/29/04 elevated storage tank</t>
        </r>
      </text>
    </comment>
    <comment ref="L28" authorId="1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11/04/03  water tower piping
11/19/03 water tower
</t>
        </r>
      </text>
    </comment>
    <comment ref="K28" authorId="1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08/25/03  water tower piping
11/14/03  water tower</t>
        </r>
      </text>
    </comment>
    <comment ref="A50" authorId="1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David Haugland, City Admin  Auth Rep</t>
        </r>
      </text>
    </comment>
    <comment ref="A43" authorId="1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Dan Behr, Mayor
Auth Rep</t>
        </r>
      </text>
    </comment>
    <comment ref="A48" authorId="1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Bruce Suckow, Mayor
Auth Rep</t>
        </r>
      </text>
    </comment>
    <comment ref="A32" authorId="1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John Call, City Admin
Auth Rep
Patti Moore, City Clerk</t>
        </r>
      </text>
    </comment>
    <comment ref="K48" authorId="1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100K gal elevated water storage tank
Well #6
well pump, controls, housing
water main, grading</t>
        </r>
      </text>
    </comment>
    <comment ref="L50" authorId="1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WTP and Elevated storage tank</t>
        </r>
      </text>
    </comment>
    <comment ref="A16" authorId="1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John F. Brown, City Admin
Auth Rep</t>
        </r>
      </text>
    </comment>
    <comment ref="K42" authorId="1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01/02/04 elevated storage towers
06/11/04 three draft aerators, reconstruct
                filter cells, 2 booster pumping   
                stations, water main
10/02/04 water distribution system
</t>
        </r>
      </text>
    </comment>
    <comment ref="K50" authorId="1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WTP and Elevated storage tank</t>
        </r>
      </text>
    </comment>
    <comment ref="L48" authorId="1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12/27/04 Div 2 well 
01/11/05 Div 1 elevated water storage tank
01/11/05 Div 3 well pump, controls, housing
01/31/05 Div 4 water main, grading</t>
        </r>
      </text>
    </comment>
    <comment ref="K47" authorId="1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04/05/05 test drilling &amp; construction of Well No. 8</t>
        </r>
      </text>
    </comment>
    <comment ref="L42" authorId="0">
      <text>
        <r>
          <rPr>
            <b/>
            <sz val="8"/>
            <rFont val="Tahoma"/>
            <family val="2"/>
          </rPr>
          <t>Iowa DNR User:</t>
        </r>
        <r>
          <rPr>
            <sz val="8"/>
            <rFont val="Tahoma"/>
            <family val="2"/>
          </rPr>
          <t xml:space="preserve">
10/13/03  Sect I &amp; II water storage (CB&amp;I)
07/31/04  Sect I WTP Upgrade (Woodruff Constr)
09/30/04  Sect II WTP Upgrade (Story Constrr)
10/19/04  Water Distribution (Van Hauen)
03/01/05  Sect III water storage (ABC Crance)(WBE)                </t>
        </r>
      </text>
    </comment>
    <comment ref="L40" authorId="1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03/15/05  Div 1 - water main
                 Div 2 - wells
                 Div 3 - elevated storage tank </t>
        </r>
      </text>
    </comment>
    <comment ref="K54" authorId="1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01/19/05  WTP
03/28/05  Well #6</t>
        </r>
      </text>
    </comment>
    <comment ref="A52" authorId="1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Richard Wilcox, Genl Mgr
Auth Rep</t>
        </r>
      </text>
    </comment>
    <comment ref="F54" authorId="1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REV    $   860,000
GO     $1,740,000</t>
        </r>
      </text>
    </comment>
    <comment ref="L54" authorId="1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04/13/05  WTP
05/06/05  Well #6
</t>
        </r>
      </text>
    </comment>
    <comment ref="G52" authorId="0">
      <text>
        <r>
          <rPr>
            <b/>
            <sz val="8"/>
            <rFont val="Tahoma"/>
            <family val="2"/>
          </rPr>
          <t>Iowa DNR User:</t>
        </r>
        <r>
          <rPr>
            <sz val="8"/>
            <rFont val="Tahoma"/>
            <family val="2"/>
          </rPr>
          <t xml:space="preserve">
city taxable issue</t>
        </r>
      </text>
    </comment>
    <comment ref="L44" authorId="1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09/20/04 elevated storage tank</t>
        </r>
      </text>
    </comment>
    <comment ref="K41" authorId="1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04/13/05  WTP
08/17/05  Well # 7 &amp; 8</t>
        </r>
      </text>
    </comment>
    <comment ref="L41" authorId="1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05/25/05  WTP
09/12/05  Well # 7 &amp; 8</t>
        </r>
      </text>
    </comment>
    <comment ref="K53" authorId="0">
      <text>
        <r>
          <rPr>
            <b/>
            <sz val="8"/>
            <rFont val="Tahoma"/>
            <family val="2"/>
          </rPr>
          <t>Iowa DNR User:</t>
        </r>
        <r>
          <rPr>
            <sz val="8"/>
            <rFont val="Tahoma"/>
            <family val="2"/>
          </rPr>
          <t xml:space="preserve">
01/24/02  Phase   I
05/07/02  Phase  II
09/20/02  18th St WM 
12/03/02  Phase III
02/03/03  Transmission main (Grandview &amp; 38th St Reservoirs)
04/25/05  SE Morningside WM 
07/29/05 38th Street Reservoir connection</t>
        </r>
      </text>
    </comment>
    <comment ref="K51" authorId="1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08/10/05 watermain
</t>
        </r>
      </text>
    </comment>
    <comment ref="L51" authorId="1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Issued for water main &amp; plant but no plant constrcution until after permit was issued</t>
        </r>
      </text>
    </comment>
    <comment ref="K49" authorId="1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10/11/05 WTP Improv
10/21/05 Well #4 &amp; #5</t>
        </r>
      </text>
    </comment>
    <comment ref="L49" authorId="1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10/06/05 WTP Improvements
11/09/05  Wells #4 &amp; #5</t>
        </r>
      </text>
    </comment>
    <comment ref="K12" authorId="1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5/20/04 distribution system
8/30/04 well #3 &amp; modif to WTP</t>
        </r>
      </text>
    </comment>
    <comment ref="L12" authorId="1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06/24/04 distribution system
10/04/04 well #3 &amp; pressure filters</t>
        </r>
      </text>
    </comment>
    <comment ref="K18" authorId="1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04/12/05 water mains
04/18/05 revised WM</t>
        </r>
      </text>
    </comment>
    <comment ref="K22" authorId="1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9/08/03 plant improvements
7/13/04 Well #11, #12 &amp;    water main extension</t>
        </r>
      </text>
    </comment>
    <comment ref="L22" authorId="0">
      <text>
        <r>
          <rPr>
            <b/>
            <sz val="8"/>
            <rFont val="Tahoma"/>
            <family val="2"/>
          </rPr>
          <t>Iowa DNR User:</t>
        </r>
        <r>
          <rPr>
            <sz val="8"/>
            <rFont val="Tahoma"/>
            <family val="2"/>
          </rPr>
          <t xml:space="preserve">
8/21/03   N to P for equipment contracts
9/09/03   treatment plant
8/04/04   raw water line, new wells #11 &amp; 12
                and well upgrades         
</t>
        </r>
      </text>
    </comment>
    <comment ref="K33" authorId="0">
      <text>
        <r>
          <rPr>
            <b/>
            <sz val="8"/>
            <rFont val="Tahoma"/>
            <family val="2"/>
          </rPr>
          <t>Iowa DNR User:</t>
        </r>
        <r>
          <rPr>
            <sz val="8"/>
            <rFont val="Tahoma"/>
            <family val="2"/>
          </rPr>
          <t xml:space="preserve">
10/24/03 lower portion of well #4
02/24/04 water main
05/25/04 WTP grading
10/25/04  WTP</t>
        </r>
      </text>
    </comment>
    <comment ref="L33" authorId="0">
      <text>
        <r>
          <rPr>
            <b/>
            <sz val="8"/>
            <rFont val="Tahoma"/>
            <family val="2"/>
          </rPr>
          <t>Iowa DNR User:</t>
        </r>
        <r>
          <rPr>
            <sz val="8"/>
            <rFont val="Tahoma"/>
            <family val="2"/>
          </rPr>
          <t xml:space="preserve">
10/30/03 Well #4
02/24/04  Water Main
06/13/04 WTP grading
11/08/04 WTP
</t>
        </r>
      </text>
    </comment>
    <comment ref="F9" authorId="1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530K REV
163K GO
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Iowa DNR User:
</t>
        </r>
        <r>
          <rPr>
            <sz val="8"/>
            <rFont val="Tahoma"/>
            <family val="2"/>
          </rPr>
          <t>2/13/04 water main</t>
        </r>
      </text>
    </comment>
    <comment ref="L9" authorId="1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4/19/04 water main</t>
        </r>
      </text>
    </comment>
    <comment ref="K10" authorId="1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Well #4 and raw water transmission line</t>
        </r>
      </text>
    </comment>
    <comment ref="L14" authorId="1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10/04/04 Div  II - KM King
04/04/05 Div   I - Lawson
04/04/05 Div III - Lawson</t>
        </r>
      </text>
    </comment>
    <comment ref="A25" authorId="0">
      <text>
        <r>
          <rPr>
            <b/>
            <sz val="8"/>
            <rFont val="Tahoma"/>
            <family val="2"/>
          </rPr>
          <t>Iowa DNR User:</t>
        </r>
        <r>
          <rPr>
            <sz val="8"/>
            <rFont val="Tahoma"/>
            <family val="2"/>
          </rPr>
          <t xml:space="preserve">
Shelley Allison, Mayor
Auth Rep</t>
        </r>
      </text>
    </comment>
    <comment ref="F25" authorId="0">
      <text>
        <r>
          <rPr>
            <b/>
            <sz val="8"/>
            <rFont val="Tahoma"/>
            <family val="2"/>
          </rPr>
          <t>Iowa DNR User:</t>
        </r>
        <r>
          <rPr>
            <sz val="8"/>
            <rFont val="Tahoma"/>
            <family val="2"/>
          </rPr>
          <t xml:space="preserve">
$400K G.O.
$300K Rev</t>
        </r>
      </text>
    </comment>
    <comment ref="K25" authorId="0">
      <text>
        <r>
          <rPr>
            <b/>
            <sz val="8"/>
            <rFont val="Tahoma"/>
            <family val="2"/>
          </rPr>
          <t>Iowa DNR User:</t>
        </r>
        <r>
          <rPr>
            <sz val="8"/>
            <rFont val="Tahoma"/>
            <family val="2"/>
          </rPr>
          <t xml:space="preserve">
09/09/03  well #3
10/24/03 elevated storage tank
01/11/05 water treatment plant</t>
        </r>
      </text>
    </comment>
    <comment ref="L25" authorId="0">
      <text>
        <r>
          <rPr>
            <b/>
            <sz val="8"/>
            <rFont val="Tahoma"/>
            <family val="2"/>
          </rPr>
          <t>Iowa DNR User:</t>
        </r>
        <r>
          <rPr>
            <sz val="8"/>
            <rFont val="Tahoma"/>
            <family val="2"/>
          </rPr>
          <t xml:space="preserve">
04/15/03 metering (no   permit required)
09/24/03  Well No. 3
11/10/03  storage tank
01/21/05  water treatment plant improv</t>
        </r>
      </text>
    </comment>
    <comment ref="A26" authorId="0">
      <text>
        <r>
          <rPr>
            <b/>
            <sz val="8"/>
            <rFont val="Tahoma"/>
            <family val="2"/>
          </rPr>
          <t>Iowa DNR User:</t>
        </r>
        <r>
          <rPr>
            <sz val="8"/>
            <rFont val="Tahoma"/>
            <family val="2"/>
          </rPr>
          <t xml:space="preserve">
Kevin Jacobson
Finance Director</t>
        </r>
      </text>
    </comment>
    <comment ref="J23" authorId="1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categorical exclusion</t>
        </r>
      </text>
    </comment>
    <comment ref="K30" authorId="0">
      <text>
        <r>
          <rPr>
            <b/>
            <sz val="8"/>
            <rFont val="Tahoma"/>
            <family val="2"/>
          </rPr>
          <t>Iowa DNR User:</t>
        </r>
        <r>
          <rPr>
            <sz val="8"/>
            <rFont val="Tahoma"/>
            <family val="2"/>
          </rPr>
          <t xml:space="preserve">
12/02/03 well &amp; water main *
06/10/04 WTP improvements
* water main not SRF</t>
        </r>
      </text>
    </comment>
    <comment ref="L30" authorId="1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02/09/04  Well No. 4
05/10/04  Water Plant</t>
        </r>
      </text>
    </comment>
    <comment ref="F17" authorId="1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$460K Rev
$100K GO</t>
        </r>
      </text>
    </comment>
    <comment ref="L17" authorId="1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06/14/04 Cont B-1 water storage
06/22/05 Cont C    distribution system
06/29/05 Cont A    water well
07/15/05 Cont B-2 well house, chemical facilitites
                               standby generator
</t>
        </r>
      </text>
    </comment>
    <comment ref="K52" authorId="1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04/13/05 WM &amp; PS (Maple St Bypass)
04/13/05 WM &amp; PS (Alt Water Source)
12/21/05 sludge handling syst improv</t>
        </r>
      </text>
    </comment>
    <comment ref="A37" authorId="1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Beth Bonz, City Admin
Auth Rep</t>
        </r>
      </text>
    </comment>
    <comment ref="K46" authorId="1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10/13/05 Mt. Hosmer Reservoir
12/16/05 water system controls</t>
        </r>
      </text>
    </comment>
    <comment ref="L46" authorId="1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11/07/05 Mt. Hosmer Reservoir
12/19/05 water syst controls</t>
        </r>
      </text>
    </comment>
    <comment ref="L27" authorId="1">
      <text>
        <r>
          <rPr>
            <b/>
            <sz val="8"/>
            <rFont val="Tahoma"/>
            <family val="2"/>
          </rPr>
          <t>Shirley Christoffersen:</t>
        </r>
        <r>
          <rPr>
            <sz val="8"/>
            <rFont val="Tahoma"/>
            <family val="2"/>
          </rPr>
          <t xml:space="preserve">
04/13/05  Div  I raw water transmsission main
04/21/05  Div II water treatment plant</t>
        </r>
      </text>
    </comment>
  </commentList>
</comments>
</file>

<file path=xl/sharedStrings.xml><?xml version="1.0" encoding="utf-8"?>
<sst xmlns="http://schemas.openxmlformats.org/spreadsheetml/2006/main" count="1574" uniqueCount="799">
  <si>
    <t>DWSRF</t>
  </si>
  <si>
    <t>IUP</t>
  </si>
  <si>
    <t>LOAN APPL</t>
  </si>
  <si>
    <t>LOAN AGRMT</t>
  </si>
  <si>
    <t>AMOUNT</t>
  </si>
  <si>
    <t>DISBRSMT</t>
  </si>
  <si>
    <t>CONSTR</t>
  </si>
  <si>
    <t>INIT OF</t>
  </si>
  <si>
    <t>FINAL</t>
  </si>
  <si>
    <t>PROJ</t>
  </si>
  <si>
    <t>INT</t>
  </si>
  <si>
    <t>POP</t>
  </si>
  <si>
    <t>PROJECT</t>
  </si>
  <si>
    <t>LOAN NO.</t>
  </si>
  <si>
    <t>YR</t>
  </si>
  <si>
    <t>DATE</t>
  </si>
  <si>
    <t>OF LOAN</t>
  </si>
  <si>
    <t>TO DATE</t>
  </si>
  <si>
    <t>START</t>
  </si>
  <si>
    <t>OPERATION</t>
  </si>
  <si>
    <t>INSP</t>
  </si>
  <si>
    <t>MGR</t>
  </si>
  <si>
    <t>ENGINEER</t>
  </si>
  <si>
    <t>RATE</t>
  </si>
  <si>
    <t>CODE</t>
  </si>
  <si>
    <t>Ainsworth</t>
  </si>
  <si>
    <t>TBV</t>
  </si>
  <si>
    <t>JKM</t>
  </si>
  <si>
    <t>Dyersville</t>
  </si>
  <si>
    <t>Elk Horn</t>
  </si>
  <si>
    <t>RGN</t>
  </si>
  <si>
    <t>Grimes</t>
  </si>
  <si>
    <t>Huxley</t>
  </si>
  <si>
    <t>MKA</t>
  </si>
  <si>
    <t>Hart-Frederick</t>
  </si>
  <si>
    <t>Norwalk</t>
  </si>
  <si>
    <t>Kuehl &amp; Payer</t>
  </si>
  <si>
    <t>Prairie City</t>
  </si>
  <si>
    <t xml:space="preserve">          TOTALS:</t>
  </si>
  <si>
    <t>ISSUED</t>
  </si>
  <si>
    <t>PERMIT</t>
  </si>
  <si>
    <t>REC'D</t>
  </si>
  <si>
    <t>Fox Engineering</t>
  </si>
  <si>
    <t>HR Green, DM</t>
  </si>
  <si>
    <t>Snyder&amp;Assoc, Atlantic</t>
  </si>
  <si>
    <t>FS-92-98-DWSRF-076</t>
  </si>
  <si>
    <t>MMS Consultants</t>
  </si>
  <si>
    <t>Snyder&amp;Assoc, Ankeny</t>
  </si>
  <si>
    <t>FS-31-98-DWSRF-056</t>
  </si>
  <si>
    <t>IIW Engineers</t>
  </si>
  <si>
    <t>Veenstra &amp; Kimm</t>
  </si>
  <si>
    <t>McClure Engineering</t>
  </si>
  <si>
    <t>McClure Engr, Ft Dodge</t>
  </si>
  <si>
    <t>Stanley Consultants</t>
  </si>
  <si>
    <t>Kruse, Cate &amp; Nelson</t>
  </si>
  <si>
    <t>FS-21-99-DWSRF-025</t>
  </si>
  <si>
    <t>LOAN DISB</t>
  </si>
  <si>
    <t>00</t>
  </si>
  <si>
    <t>Fairfield</t>
  </si>
  <si>
    <t>Keota</t>
  </si>
  <si>
    <t>FS-51-00-DWSRF-011</t>
  </si>
  <si>
    <t xml:space="preserve"> 2/23/00</t>
  </si>
  <si>
    <t>French-Reneker</t>
  </si>
  <si>
    <t>Somers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</si>
  <si>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</si>
  <si>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</si>
  <si>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</si>
  <si>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</si>
  <si>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</si>
  <si>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</si>
  <si>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</si>
  <si>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</si>
  <si>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</si>
  <si>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</si>
  <si>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</si>
  <si>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</si>
  <si>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</si>
  <si>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</si>
  <si>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</si>
  <si>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</si>
  <si>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</si>
  <si>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</si>
  <si>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</si>
  <si>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</si>
  <si>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AUDITS:</t>
  </si>
  <si>
    <t>x</t>
  </si>
  <si>
    <t>Spencer Muncipal Utilities</t>
  </si>
  <si>
    <t>FS-20-01-DWSRF-013</t>
  </si>
  <si>
    <t>Osceola Water Works</t>
  </si>
  <si>
    <t>FS-97-01-DWSRF-016</t>
  </si>
  <si>
    <t>Tiffin</t>
  </si>
  <si>
    <t>FS-52-01-DWSRF-022</t>
  </si>
  <si>
    <t>DEE</t>
  </si>
  <si>
    <t>Olsson&amp;Assoc/LincolnNE</t>
  </si>
  <si>
    <t>Le Mars</t>
  </si>
  <si>
    <t>MSA</t>
  </si>
  <si>
    <t>TYPE</t>
  </si>
  <si>
    <t>REV</t>
  </si>
  <si>
    <t>REV/GO</t>
  </si>
  <si>
    <t>GO</t>
  </si>
  <si>
    <t>EQUITY</t>
  </si>
  <si>
    <t xml:space="preserve">Sioux City </t>
  </si>
  <si>
    <t>E</t>
  </si>
  <si>
    <t>D</t>
  </si>
  <si>
    <t>Alleman</t>
  </si>
  <si>
    <t>FS-77-02-DWSRF-059</t>
  </si>
  <si>
    <t>McClure Engr, Ft Ddoge</t>
  </si>
  <si>
    <t>Neola</t>
  </si>
  <si>
    <t>FS-78-02-DWSRF-010</t>
  </si>
  <si>
    <t>Bancroft</t>
  </si>
  <si>
    <t>Pocahontas</t>
  </si>
  <si>
    <t>FS-76-02-DWSRF-044</t>
  </si>
  <si>
    <t>Mason City</t>
  </si>
  <si>
    <t>FS-17-02-DWSRF-045</t>
  </si>
  <si>
    <t>Kalona</t>
  </si>
  <si>
    <t>FS-92-02-DWSRF-046</t>
  </si>
  <si>
    <t>Garden &amp; Assoc</t>
  </si>
  <si>
    <t>Breda</t>
  </si>
  <si>
    <t>FS-14-02-DWSRF-048</t>
  </si>
  <si>
    <t>Lone Tree</t>
  </si>
  <si>
    <t>FS-52-02-DWSRF-050</t>
  </si>
  <si>
    <t>Jewell</t>
  </si>
  <si>
    <t>FS-40-02-DWSRF-051</t>
  </si>
  <si>
    <t>Kingsley</t>
  </si>
  <si>
    <t>Wahpeton</t>
  </si>
  <si>
    <t>FS-85-02-DWSRF-057</t>
  </si>
  <si>
    <t>Fort Dodge</t>
  </si>
  <si>
    <t>FS-94-02-DWSRF-058</t>
  </si>
  <si>
    <t>FNSI</t>
  </si>
  <si>
    <t>Des Moines Water Works</t>
  </si>
  <si>
    <t>Farmersburg</t>
  </si>
  <si>
    <t>FS-22-03-DWSRF-002</t>
  </si>
  <si>
    <t>Storm Lake</t>
  </si>
  <si>
    <t>FS-11-03-DWSRF-003</t>
  </si>
  <si>
    <t>Elkader</t>
  </si>
  <si>
    <t>FS-22-03-DWSRF-008</t>
  </si>
  <si>
    <t>Cambridge</t>
  </si>
  <si>
    <t>FS-85-03-DWSRF-012</t>
  </si>
  <si>
    <t>Winfield</t>
  </si>
  <si>
    <t>FS-44-03-DWSRF-014</t>
  </si>
  <si>
    <t>West Branch</t>
  </si>
  <si>
    <t>FS-16-03-DWSRF-015</t>
  </si>
  <si>
    <t>Corydon</t>
  </si>
  <si>
    <t>FS-93-03-DWSRF-016</t>
  </si>
  <si>
    <t>Charlotte</t>
  </si>
  <si>
    <t>FS-23-03-DWSRF-018</t>
  </si>
  <si>
    <t>Raymond Prof Group</t>
  </si>
  <si>
    <t>Foth &amp; Van Dyke</t>
  </si>
  <si>
    <t>Gibbs Engineering</t>
  </si>
  <si>
    <t>JLB</t>
  </si>
  <si>
    <t>Maquoketa</t>
  </si>
  <si>
    <t>FS-49-04-DWSRF-013</t>
  </si>
  <si>
    <t>FS-90-04-DWSRF-017</t>
  </si>
  <si>
    <t>FS-55-04-DWSRF-030</t>
  </si>
  <si>
    <t>Grand Mound</t>
  </si>
  <si>
    <t>FS-23-04-DWSSF-029</t>
  </si>
  <si>
    <t>Mitchellville</t>
  </si>
  <si>
    <t>FS-77-04-DWSRF-002</t>
  </si>
  <si>
    <t>Leon</t>
  </si>
  <si>
    <t>FS-27-04-DWSRF-003</t>
  </si>
  <si>
    <t>Asbury</t>
  </si>
  <si>
    <t>FS-31-04-DWSRF-021</t>
  </si>
  <si>
    <t>Lansing</t>
  </si>
  <si>
    <t>FS-03-04-DWSRF-025</t>
  </si>
  <si>
    <t>Nevada</t>
  </si>
  <si>
    <t>FS-85-04-DWSRF-022</t>
  </si>
  <si>
    <t>FS-68-04-DWSRF-012</t>
  </si>
  <si>
    <t>Farmington</t>
  </si>
  <si>
    <t>FS-89-04-DWSRF-018</t>
  </si>
  <si>
    <t>Glidden</t>
  </si>
  <si>
    <t>FS-14-04-DWSRF-027</t>
  </si>
  <si>
    <t>Vail</t>
  </si>
  <si>
    <t>Albia Munic Water Works</t>
  </si>
  <si>
    <t>Snyder &amp; Assoc</t>
  </si>
  <si>
    <t>Warner Engineering</t>
  </si>
  <si>
    <t>Davy Engineering</t>
  </si>
  <si>
    <t>HR Green</t>
  </si>
  <si>
    <t>Ottumwa Water Works</t>
  </si>
  <si>
    <t>08//28/03</t>
  </si>
  <si>
    <t>Clarinda</t>
  </si>
  <si>
    <t>FS-73-05-DWSRF-009</t>
  </si>
  <si>
    <t>Ellsworth</t>
  </si>
  <si>
    <t>Laurens</t>
  </si>
  <si>
    <t>FS-76-05-DSWRF-005</t>
  </si>
  <si>
    <t>Lockridge</t>
  </si>
  <si>
    <t>FS-51-05-DWSRF-008</t>
  </si>
  <si>
    <t>FS-74-05-DWSRF-012</t>
  </si>
  <si>
    <t>Maynard</t>
  </si>
  <si>
    <t>FS-33-05-DWSRF-003</t>
  </si>
  <si>
    <t>Ossian</t>
  </si>
  <si>
    <t>FS-96-05-DWSRF-013</t>
  </si>
  <si>
    <t>FS-54-05-DWSRF-004</t>
  </si>
  <si>
    <t>Edgewood</t>
  </si>
  <si>
    <t>DGR &amp; Associates</t>
  </si>
  <si>
    <t xml:space="preserve">REV </t>
  </si>
  <si>
    <t>RDC</t>
  </si>
  <si>
    <t>MMW</t>
  </si>
  <si>
    <t>TeKippe Engr</t>
  </si>
  <si>
    <t>FS-75-02-DWSRF-064</t>
  </si>
  <si>
    <t>FS-22-05-DWSRF-002</t>
  </si>
  <si>
    <t>Emmetsburg Munic Utl</t>
  </si>
  <si>
    <t>WHKS, MN</t>
  </si>
  <si>
    <t>PSBA</t>
  </si>
  <si>
    <t>V&amp;K, Coralville</t>
  </si>
  <si>
    <t>G.O.</t>
  </si>
  <si>
    <t>DNR</t>
  </si>
  <si>
    <t>IFA</t>
  </si>
  <si>
    <t>P&amp;D</t>
  </si>
  <si>
    <t>FS-25-06-DWSRF-017</t>
  </si>
  <si>
    <t>MTM</t>
  </si>
  <si>
    <t>Greene</t>
  </si>
  <si>
    <t>Granger</t>
  </si>
  <si>
    <t>Boone</t>
  </si>
  <si>
    <t>Eldora</t>
  </si>
  <si>
    <t>FS-42-08-DWSRF-004</t>
  </si>
  <si>
    <t>Dubuque</t>
  </si>
  <si>
    <t>FS-71-07-DWSRF-019</t>
  </si>
  <si>
    <t>FS-56-07-DWSRF-017</t>
  </si>
  <si>
    <t>IFA&gt;</t>
  </si>
  <si>
    <t>FS-42-08-DWSRF-037</t>
  </si>
  <si>
    <t>FS-90-08-DWSRF-033</t>
  </si>
  <si>
    <t>FS-46-08-DWSRF-036</t>
  </si>
  <si>
    <t>FS-92-08-DWSRF-026</t>
  </si>
  <si>
    <t>Oakland</t>
  </si>
  <si>
    <t>FS-40-08-DWSRF-028</t>
  </si>
  <si>
    <t>FS-27-08-DWSRF-029</t>
  </si>
  <si>
    <t>FS-29-09-DWSRF-005</t>
  </si>
  <si>
    <t>Wellman</t>
  </si>
  <si>
    <t>FS-53-08-DWSRF-030</t>
  </si>
  <si>
    <t>FS-34-08-DWSRF-031</t>
  </si>
  <si>
    <t>FS-76-09-DWSRF-011</t>
  </si>
  <si>
    <t>FS-56-09-DWSRF-008</t>
  </si>
  <si>
    <t>FS-97-09-DWSRF-007</t>
  </si>
  <si>
    <t>FS-89-09-DWSRF-015</t>
  </si>
  <si>
    <t>Marshalltown</t>
  </si>
  <si>
    <t>FS-97-09-DWSRF-025</t>
  </si>
  <si>
    <t>FS-86-09-DWSRF-012</t>
  </si>
  <si>
    <t>FS-50-10-DWSRF-038</t>
  </si>
  <si>
    <t>West Des Moines Water Works</t>
  </si>
  <si>
    <t>FS-08-10-DWSRF-029</t>
  </si>
  <si>
    <t>FS-48-10-DWSRF-024</t>
  </si>
  <si>
    <t>FS-34-10-DWSRF-030</t>
  </si>
  <si>
    <t>FS-31-10-DWSRF-023</t>
  </si>
  <si>
    <t>FS-50-10-DWSRF-022</t>
  </si>
  <si>
    <t>FS-24-10-DWSRF-031</t>
  </si>
  <si>
    <t>Le Grand</t>
  </si>
  <si>
    <t>FS-57-10-DWSRF-033</t>
  </si>
  <si>
    <t>FS-07-10-DWSRF-034</t>
  </si>
  <si>
    <t>FS-77-10-DWSRF-037</t>
  </si>
  <si>
    <t>FS-70-10-DWSRF-021</t>
  </si>
  <si>
    <t>FS-48-10-DWSRF-027</t>
  </si>
  <si>
    <t>Howard R. Green Company</t>
  </si>
  <si>
    <t>DJO</t>
  </si>
  <si>
    <t>V&amp;K, Sergeant Bluff</t>
  </si>
  <si>
    <t>HRG, Cedar Rapids</t>
  </si>
  <si>
    <t>Manson</t>
  </si>
  <si>
    <t>French-Reneker-Assoc</t>
  </si>
  <si>
    <t>Shoff Consulting Engineers</t>
  </si>
  <si>
    <t>DW</t>
  </si>
  <si>
    <t>HDR Engineering, Omaha</t>
  </si>
  <si>
    <t>MSA, Hiawatha</t>
  </si>
  <si>
    <t>French-Reneker-Assoc.</t>
  </si>
  <si>
    <t>TV</t>
  </si>
  <si>
    <t>Hart-Frederick Consultants</t>
  </si>
  <si>
    <t>MSA - Ankeny</t>
  </si>
  <si>
    <t>undisbursed 06/30/10</t>
  </si>
  <si>
    <t>total disbursed thru SY 2010</t>
  </si>
  <si>
    <t>Wyoming  DF0090R</t>
  </si>
  <si>
    <t>De Soto  DF0096R</t>
  </si>
  <si>
    <r>
      <t xml:space="preserve">Fort Madison  </t>
    </r>
    <r>
      <rPr>
        <sz val="10"/>
        <color indexed="10"/>
        <rFont val="Arial"/>
        <family val="2"/>
      </rPr>
      <t xml:space="preserve">DS0095R </t>
    </r>
  </si>
  <si>
    <t>Hartley  DF0098R</t>
  </si>
  <si>
    <t>Muscatine Power &amp; Water DFG0106R</t>
  </si>
  <si>
    <t>Floyd  DF0097R</t>
  </si>
  <si>
    <t>Fort Madison  DF0100R</t>
  </si>
  <si>
    <t>Burlington Munic WW  DF0114R</t>
  </si>
  <si>
    <t>Eldon  DF0120R</t>
  </si>
  <si>
    <t>Laurens  DF0118R</t>
  </si>
  <si>
    <t>Lamoni Municipal Utilities  DF0148R</t>
  </si>
  <si>
    <t>Rathbun Reg Water Assoc  DF0152RT</t>
  </si>
  <si>
    <t>Fairfax  DFG0123G</t>
  </si>
  <si>
    <t>Salix  DF0156R</t>
  </si>
  <si>
    <t>Crawfordsville  DF0140R</t>
  </si>
  <si>
    <t>Urbandale  DFG0138R</t>
  </si>
  <si>
    <t>Baxter  DFG0122R</t>
  </si>
  <si>
    <t>Renwick  DF0154R</t>
  </si>
  <si>
    <t>Tama  DF0116R</t>
  </si>
  <si>
    <t>Keokuk Water Works  DF0144R</t>
  </si>
  <si>
    <t>Denison Munic Util  DFG0128R</t>
  </si>
  <si>
    <t>Keosauqua  DF0146R</t>
  </si>
  <si>
    <t>Sergeant Bluff  DF0158R</t>
  </si>
  <si>
    <t>Charles City  DFG0115R</t>
  </si>
  <si>
    <t>Hudson  DFG0134R</t>
  </si>
  <si>
    <t>Stratford  DF0160R</t>
  </si>
  <si>
    <t>Dubuque  DFG0130R</t>
  </si>
  <si>
    <t xml:space="preserve">Hubbard  DS0102R </t>
  </si>
  <si>
    <t>Hubbard  DF0107R</t>
  </si>
  <si>
    <t>FS-04-08-DWSRF-017</t>
  </si>
  <si>
    <r>
      <t xml:space="preserve">Dubuque  </t>
    </r>
    <r>
      <rPr>
        <sz val="10"/>
        <color indexed="10"/>
        <rFont val="Arial"/>
        <family val="2"/>
      </rPr>
      <t xml:space="preserve">DSG0129R </t>
    </r>
  </si>
  <si>
    <t>Albion</t>
  </si>
  <si>
    <t>total disbursed thru SY 2011</t>
  </si>
  <si>
    <t>undisbursed 06/30/11</t>
  </si>
  <si>
    <t>Central IA Water Assoc DFG0126RT</t>
  </si>
  <si>
    <t>Ladora  DFG0136R</t>
  </si>
  <si>
    <t>Boone DFG0124R</t>
  </si>
  <si>
    <t>North English  DF0150R</t>
  </si>
  <si>
    <t>Boone DFG0163R</t>
  </si>
  <si>
    <t>Central IA Water Assoc DSG0125RT</t>
  </si>
  <si>
    <t>reallocated from Hubbard Sept 2011</t>
  </si>
  <si>
    <t>undisbursed 06/30/12</t>
  </si>
  <si>
    <t>total disbursed thru SY 2012</t>
  </si>
  <si>
    <t xml:space="preserve"> &lt; undisbursed 03/31/12</t>
  </si>
  <si>
    <t>Coralville</t>
  </si>
  <si>
    <t>Van Meter</t>
  </si>
  <si>
    <t>FS-89-16-DWSRF-006</t>
  </si>
  <si>
    <t>Westgate</t>
  </si>
  <si>
    <t>FS-04-17-DWSRF-010</t>
  </si>
  <si>
    <t>Bellevue</t>
  </si>
  <si>
    <t>Dedham</t>
  </si>
  <si>
    <t>FS-18-18-DWSRF-006</t>
  </si>
  <si>
    <t>Ankeny</t>
  </si>
  <si>
    <t>FS-21-18-DWSRF-019</t>
  </si>
  <si>
    <t>FS-13-19-DWSRF-028</t>
  </si>
  <si>
    <t>FS-82-20-DWSRF-006</t>
  </si>
  <si>
    <t>FS-52-20-DWSRF-019</t>
  </si>
  <si>
    <t>FS-39-20-DWSRF-017</t>
  </si>
  <si>
    <t>FS-99-20-DWSRF-018</t>
  </si>
  <si>
    <t>Plainfield</t>
  </si>
  <si>
    <t>Melvin</t>
  </si>
  <si>
    <t>FS-72-20-DWSRF-033</t>
  </si>
  <si>
    <t>FS-94-20-DWSRF-031</t>
  </si>
  <si>
    <t>FS-33-20-DWSRF-024</t>
  </si>
  <si>
    <t>Waukee</t>
  </si>
  <si>
    <t>Atkins</t>
  </si>
  <si>
    <t>FS-06-21-DWSRF-001</t>
  </si>
  <si>
    <t>FS-25-21-DWSRF-004</t>
  </si>
  <si>
    <t>FS-85-21-DWSRF-009</t>
  </si>
  <si>
    <t>FS-31-21-DWSRF-007</t>
  </si>
  <si>
    <t>FS-77-21-DWSRF-018</t>
  </si>
  <si>
    <t>Essex</t>
  </si>
  <si>
    <t>Fontanelle</t>
  </si>
  <si>
    <t>Knoxville</t>
  </si>
  <si>
    <t>Titonka</t>
  </si>
  <si>
    <t>FS-14-22-DWSRF-008</t>
  </si>
  <si>
    <t>FS-22-22-DWSRF-013</t>
  </si>
  <si>
    <t>FS-77-22-DWSRF-015</t>
  </si>
  <si>
    <t>Nashua</t>
  </si>
  <si>
    <t>FS-19-22-DWSRF-016</t>
  </si>
  <si>
    <t>Plover</t>
  </si>
  <si>
    <t>FS-76-22-DWSRF-017</t>
  </si>
  <si>
    <t>FS-13-22-DWSRF-023</t>
  </si>
  <si>
    <t>FS-54-22-DWSRF-026</t>
  </si>
  <si>
    <t>Protivin</t>
  </si>
  <si>
    <t>FS-45-22-DWSRF-029</t>
  </si>
  <si>
    <t>FS-30-22-DWSRF-031</t>
  </si>
  <si>
    <t>FS-14-22-DWSRF-032</t>
  </si>
  <si>
    <t>FS-39-22-DWSRF-034</t>
  </si>
  <si>
    <t>FS-75-22-DWSRF-035</t>
  </si>
  <si>
    <t>West Central IA RWA</t>
  </si>
  <si>
    <t>FS-14-22-DWSRF-036</t>
  </si>
  <si>
    <t>Orange City</t>
  </si>
  <si>
    <t>FS-84-22-DWSRF-037</t>
  </si>
  <si>
    <t>FS-76-22-DWSRF-038</t>
  </si>
  <si>
    <t>Birmingham</t>
  </si>
  <si>
    <t>FS-89-22-DWSRF-039</t>
  </si>
  <si>
    <t>Auburn</t>
  </si>
  <si>
    <t>FS-81-23-DWSRF-001</t>
  </si>
  <si>
    <t>Yale</t>
  </si>
  <si>
    <t>Mallard</t>
  </si>
  <si>
    <t>FS-74-23-DWSRF-003</t>
  </si>
  <si>
    <t>FS-75-23-DWSRF-005</t>
  </si>
  <si>
    <t>Spillville</t>
  </si>
  <si>
    <t>FS-96-23-DWSRF-007</t>
  </si>
  <si>
    <t>FS-60-23-DWSRF-006</t>
  </si>
  <si>
    <t>Mount Vernon</t>
  </si>
  <si>
    <t>FS-57-23-DWSRF-004</t>
  </si>
  <si>
    <t>FS-39-23-DWSRF-008</t>
  </si>
  <si>
    <t>FS-31-23-DWSRF-012</t>
  </si>
  <si>
    <t>Milford Municipal Utilities</t>
  </si>
  <si>
    <t xml:space="preserve">FS-30-23-DWSRF-010 </t>
  </si>
  <si>
    <t>FS-77-23-DWSRF-011</t>
  </si>
  <si>
    <t>Carter Lake</t>
  </si>
  <si>
    <t>FS-78-23-DWSRF-018</t>
  </si>
  <si>
    <t>FS-31-23-DWSRF-013</t>
  </si>
  <si>
    <t>FS-55-23-DWSRF-016</t>
  </si>
  <si>
    <t>Algona</t>
  </si>
  <si>
    <t>FS-62-23-DWSRF-014</t>
  </si>
  <si>
    <t>FS-79-23-DWSRF-017</t>
  </si>
  <si>
    <t>FS-95-23-DWSRF-020</t>
  </si>
  <si>
    <t>Corwith</t>
  </si>
  <si>
    <t>FS-41-23-DWSRF-021</t>
  </si>
  <si>
    <t>Clarence</t>
  </si>
  <si>
    <t>FS-16-23-DWSRF-022</t>
  </si>
  <si>
    <t>FS-57-23-DWSRF-023</t>
  </si>
  <si>
    <t>FS-72-23-DWSRF-032</t>
  </si>
  <si>
    <t>FS-77-23-DWSRF-028</t>
  </si>
  <si>
    <t>FS-57-23-DWSRF-025</t>
  </si>
  <si>
    <t>FS-77-23-DWSRF-024</t>
  </si>
  <si>
    <t>Hampton</t>
  </si>
  <si>
    <t>FS-35-23-DWSRF-033</t>
  </si>
  <si>
    <t>Hinton</t>
  </si>
  <si>
    <t>FS-75-23-DWSRF-034</t>
  </si>
  <si>
    <t>FS-82-23-DWSRF-026</t>
  </si>
  <si>
    <t>Johnston</t>
  </si>
  <si>
    <t>FS-77-23-DWSRF-029</t>
  </si>
  <si>
    <t>Rudd</t>
  </si>
  <si>
    <t>FS-34-23-DWSRF-031</t>
  </si>
  <si>
    <t>FS-11-23-DWSRF-030</t>
  </si>
  <si>
    <t>FS-30-23-DWSRF-066</t>
  </si>
  <si>
    <t>Ely</t>
  </si>
  <si>
    <t>FS-57-23-DWSRF-019</t>
  </si>
  <si>
    <t>FS-29-23-DWSRF-084</t>
  </si>
  <si>
    <t>FS-29-23-DWSRF-085</t>
  </si>
  <si>
    <t>FS-29-23-DWSRF-086</t>
  </si>
  <si>
    <t>FS-77-23-DWSRF-075</t>
  </si>
  <si>
    <t>FS-31-23-DWSRF-080</t>
  </si>
  <si>
    <t>FS-74-23-DWSRF-071</t>
  </si>
  <si>
    <t>FS-25-23-DWSRF-072</t>
  </si>
  <si>
    <t>FS-13-23-DWSRF-068</t>
  </si>
  <si>
    <t>FS-45-23-DWSRF-083</t>
  </si>
  <si>
    <t>FS-08-23-DWSRF-076</t>
  </si>
  <si>
    <t>FS-62-23-DWSRF-073</t>
  </si>
  <si>
    <t>FS-64-23-DWSRF-079</t>
  </si>
  <si>
    <t>FS-76-23-DWSRF-074</t>
  </si>
  <si>
    <t>Polk City</t>
  </si>
  <si>
    <t>FS-77-23-DWSRF-077</t>
  </si>
  <si>
    <t>Schaller</t>
  </si>
  <si>
    <t>FS-81-23-DWSRF-082</t>
  </si>
  <si>
    <t>FS-11-23-DWSRF-070</t>
  </si>
  <si>
    <t>Grinnell</t>
  </si>
  <si>
    <t>FS-84-24-DWSRF-001</t>
  </si>
  <si>
    <t>FS-94-24-DWSRF-007</t>
  </si>
  <si>
    <t>FS-79-24-DWSRF-006</t>
  </si>
  <si>
    <t>FS-77-24-DWSRF-005</t>
  </si>
  <si>
    <t>FS-82-24-DWSRF-004</t>
  </si>
  <si>
    <t>FS-23-24-DWSRF-003</t>
  </si>
  <si>
    <t>FS-14-24-DWSRF-002</t>
  </si>
  <si>
    <t>FS-77-24-DWSRF-008</t>
  </si>
  <si>
    <t>Des Moines Water Works (LSL)</t>
  </si>
  <si>
    <t>FS-78-24-DWSRF-009</t>
  </si>
  <si>
    <t>FS-31-24-DWSRF-010</t>
  </si>
  <si>
    <t>FS-31-24-DWSRF-011</t>
  </si>
  <si>
    <t>Tama (PFAS)</t>
  </si>
  <si>
    <t>Newton</t>
  </si>
  <si>
    <t>Fairfax</t>
  </si>
  <si>
    <t>Meservey</t>
  </si>
  <si>
    <t>Central City (PFAS)</t>
  </si>
  <si>
    <t>Madrid</t>
  </si>
  <si>
    <t xml:space="preserve">FS-16-24-DWSRF-022 </t>
  </si>
  <si>
    <t xml:space="preserve">FS-57-24-DWSRF-027 </t>
  </si>
  <si>
    <t xml:space="preserve">FS-64-24-DWSRF-026 </t>
  </si>
  <si>
    <t xml:space="preserve">FS-08-24-DWSRF-028 </t>
  </si>
  <si>
    <t>Iowa Lakes Regional Water</t>
  </si>
  <si>
    <t>Terril</t>
  </si>
  <si>
    <t>Casey</t>
  </si>
  <si>
    <t>FS-16-23-DWSRF-081</t>
  </si>
  <si>
    <t>La Motte</t>
  </si>
  <si>
    <t>FS-49-24-DWSRF-030</t>
  </si>
  <si>
    <t>Marble Rock</t>
  </si>
  <si>
    <t>FS-34-24-DWSRF-031</t>
  </si>
  <si>
    <t>FS-63-24-DWSRF-032</t>
  </si>
  <si>
    <t>FS-56-24-DWSRF-033</t>
  </si>
  <si>
    <t>FS-56-24-DWSRF-034</t>
  </si>
  <si>
    <t>FS-01-24-DWSRF-036</t>
  </si>
  <si>
    <t>Grinnell (LSL)</t>
  </si>
  <si>
    <t>FS-79-24-DWSRF-037</t>
  </si>
  <si>
    <t>FS-91-24-DWSRF-038</t>
  </si>
  <si>
    <t>FS-03-24-DWSRF-039</t>
  </si>
  <si>
    <t>FS-75-24-DWSRF-040</t>
  </si>
  <si>
    <t>Tabor</t>
  </si>
  <si>
    <t>Project Description</t>
  </si>
  <si>
    <t>Priority Points</t>
  </si>
  <si>
    <t>PFAS/EC</t>
  </si>
  <si>
    <t>Greenfield Municipal Utilities</t>
  </si>
  <si>
    <t>PD-DW-24-44</t>
  </si>
  <si>
    <t>Treatment System Improvements</t>
  </si>
  <si>
    <t>P</t>
  </si>
  <si>
    <t>PD-DW-24-45</t>
  </si>
  <si>
    <t>Automatic control and maintenance system and water main replacement</t>
  </si>
  <si>
    <t>PD-DW-24-46</t>
  </si>
  <si>
    <t>Water system improvements</t>
  </si>
  <si>
    <t>PD-DW-24-47</t>
  </si>
  <si>
    <t>New water main, elevated storage tank, and filter media replacement</t>
  </si>
  <si>
    <t>PD-DW-24-48</t>
  </si>
  <si>
    <t>WTP upgrades and new well</t>
  </si>
  <si>
    <t>PD-DW-24-49</t>
  </si>
  <si>
    <t>Water treatment plant improvements</t>
  </si>
  <si>
    <t>PD-DW-24-52</t>
  </si>
  <si>
    <t>Supplemental to Future Needs PER P&amp;D</t>
  </si>
  <si>
    <t>PD-DW-24-35</t>
  </si>
  <si>
    <t>Pilot of Reverse Osmosis System</t>
  </si>
  <si>
    <t>PD-DW-24-34</t>
  </si>
  <si>
    <t>Replacing Well #2 and Recasing Well #3</t>
  </si>
  <si>
    <t>PD-DW-24-33</t>
  </si>
  <si>
    <t>Water Main Improvement for NW Saylorville Annexation</t>
  </si>
  <si>
    <t>Proposed Municipal Well #3</t>
  </si>
  <si>
    <t>Water System Improvements Project</t>
  </si>
  <si>
    <t>Deep Well No 2 and 3 Evaluation</t>
  </si>
  <si>
    <t>2023 Water Main Improvements</t>
  </si>
  <si>
    <t>2023 System Improvements</t>
  </si>
  <si>
    <t>Water Treatment Plant Improvements</t>
  </si>
  <si>
    <t>Lead Service Line Replacement Program</t>
  </si>
  <si>
    <t>Norwalk Central Water Tower</t>
  </si>
  <si>
    <t>Platt, 4th &amp;North St Utility Improvement</t>
  </si>
  <si>
    <t>Water System Improvements</t>
  </si>
  <si>
    <t>PD-DW-24-18</t>
  </si>
  <si>
    <t>Water Treament Facility Improvements</t>
  </si>
  <si>
    <t>L</t>
  </si>
  <si>
    <t>PD-DW-24-26</t>
  </si>
  <si>
    <t>Water Main Replacement</t>
  </si>
  <si>
    <t>PD-DW-24-27</t>
  </si>
  <si>
    <t>Water Main Improvements</t>
  </si>
  <si>
    <t>PD-DW-24-28</t>
  </si>
  <si>
    <t>New Membrane Treatment Plant</t>
  </si>
  <si>
    <t>PD-DW-24-29</t>
  </si>
  <si>
    <t>Water Line/ Main Replacement</t>
  </si>
  <si>
    <t>Lime Springs</t>
  </si>
  <si>
    <t>PD-DW-24-31</t>
  </si>
  <si>
    <t>Storage Improvements</t>
  </si>
  <si>
    <t xml:space="preserve">FS-92-24-DWSRF-012 </t>
  </si>
  <si>
    <t>Water System Improvements: Distribution &amp; Supply</t>
  </si>
  <si>
    <t>Iowa Lakes Regional Rural Water</t>
  </si>
  <si>
    <t xml:space="preserve">FS-30-24-DWSRF-013 </t>
  </si>
  <si>
    <t>Orleans Expansion Project</t>
  </si>
  <si>
    <t xml:space="preserve">FS-86-24-DWSRF-014 </t>
  </si>
  <si>
    <t xml:space="preserve">FS-50-24-DWSRF-015 </t>
  </si>
  <si>
    <t>Newton Jordan Well</t>
  </si>
  <si>
    <t xml:space="preserve">FS-77-24-DWSRF-016 </t>
  </si>
  <si>
    <t>88th Street Aquifer Storage and Recovery (ASR) Well Design</t>
  </si>
  <si>
    <t xml:space="preserve">FS-57-24-DWSRF-020 </t>
  </si>
  <si>
    <t>Production Well #4</t>
  </si>
  <si>
    <t xml:space="preserve">FS-17-24-DWSRF-017 </t>
  </si>
  <si>
    <t>Phase 1 Water Supply System Improvements Project</t>
  </si>
  <si>
    <t xml:space="preserve">FS-12-24-DWSRF-018 </t>
  </si>
  <si>
    <t>2024 Water System Improvements Project</t>
  </si>
  <si>
    <t xml:space="preserve">FS-77-24-DWSRF-021 </t>
  </si>
  <si>
    <t>2023 Aquifer Storage and Recovery (ASR) Well</t>
  </si>
  <si>
    <t>Phase -2 East Side Water Main Replacement</t>
  </si>
  <si>
    <t xml:space="preserve">FS-57-24-DWSRF-023 </t>
  </si>
  <si>
    <t>C</t>
  </si>
  <si>
    <t xml:space="preserve">FS-57-24-DWSRF-024 </t>
  </si>
  <si>
    <t>2024 Lead Service Line Replacement Project</t>
  </si>
  <si>
    <t xml:space="preserve">FS-40-24-DWSRF-025 </t>
  </si>
  <si>
    <t>Elevated Tower Improvements</t>
  </si>
  <si>
    <t>New Well</t>
  </si>
  <si>
    <t>2023 Water Distribution Improvements</t>
  </si>
  <si>
    <t>PD-DW-24-14</t>
  </si>
  <si>
    <t>Distribution System Improvements</t>
  </si>
  <si>
    <t>Council Bluffs</t>
  </si>
  <si>
    <t>PD-DW-24-08</t>
  </si>
  <si>
    <t>New High Service Pump Station at Narrows WTP</t>
  </si>
  <si>
    <t>Lead Service Line Replacement Phase 3</t>
  </si>
  <si>
    <t>Lead Service Line Replacement Phase 2</t>
  </si>
  <si>
    <t>PD-DW-24-06</t>
  </si>
  <si>
    <t>Saylorville Plant Expansion</t>
  </si>
  <si>
    <t xml:space="preserve">Lead Service Line Replacement </t>
  </si>
  <si>
    <t>Lead Service Line Replacement Phase 1 Project</t>
  </si>
  <si>
    <t>Saylorville Water Treatment Plant (SWTP) Capacity Expansion - Raw Water Supply &amp; Treatment</t>
  </si>
  <si>
    <t>Iowa American Water - Quad Cities (LSL)</t>
  </si>
  <si>
    <t>2023 Quad Cities System Lead Service Line Replacement</t>
  </si>
  <si>
    <t>2023 Clinton Water System Lead Service Line Replacement</t>
  </si>
  <si>
    <t>Well No. 6</t>
  </si>
  <si>
    <t>Water System Study Phase II - System Improvements</t>
  </si>
  <si>
    <t>PD-DW-23-52</t>
  </si>
  <si>
    <t>City of Storm Lake Well No. 22</t>
  </si>
  <si>
    <t>1.5 MG Elevated Storage Tank</t>
  </si>
  <si>
    <t>Palmer</t>
  </si>
  <si>
    <t>Water System Improvement</t>
  </si>
  <si>
    <t xml:space="preserve">New 6 MGD RO Membrane Process Train </t>
  </si>
  <si>
    <t>Mahaska Rural Water</t>
  </si>
  <si>
    <t>Transmission Main Improvements - Eddyville Connection</t>
  </si>
  <si>
    <t xml:space="preserve">Water Transmission Main (Phase 1) </t>
  </si>
  <si>
    <t>2024 Street and Utility Improvements Project</t>
  </si>
  <si>
    <t>Lake City</t>
  </si>
  <si>
    <t>Well No. 6 and Well No. 7</t>
  </si>
  <si>
    <t>New Water Tower</t>
  </si>
  <si>
    <t>Emmetsburg</t>
  </si>
  <si>
    <t>Water Treatment Improvements</t>
  </si>
  <si>
    <t>Durant</t>
  </si>
  <si>
    <t>2nd Street Water Main</t>
  </si>
  <si>
    <t>Supervisory Control and Data Acquisition (SCADA) Upgrade</t>
  </si>
  <si>
    <t>Saylorville Water Treatment Plant (SWTP) Capacity Expansion - Transmission Improvements</t>
  </si>
  <si>
    <t>Water Supply and Treatment Improvements</t>
  </si>
  <si>
    <t>New Jordan Wells Project</t>
  </si>
  <si>
    <t>Burlington (LSL)</t>
  </si>
  <si>
    <t>Lead Service Line Replacement</t>
  </si>
  <si>
    <t>FS-92-23-DWSRF-069</t>
  </si>
  <si>
    <t>Water main Replacement</t>
  </si>
  <si>
    <t>Water Treatment Equipment Replacement</t>
  </si>
  <si>
    <t>Elevated Water Tank</t>
  </si>
  <si>
    <t>Water System Improvements Phase II - Water Tower Rehab</t>
  </si>
  <si>
    <t>New Water Main Project (2 Mains- NW 78th Ave and NW Beaver Drive)</t>
  </si>
  <si>
    <t>Iowa American Water - Quad Cities</t>
  </si>
  <si>
    <t>Water Treatment Plant Improvements and Expansion</t>
  </si>
  <si>
    <t>Distribution and Storage Improvements</t>
  </si>
  <si>
    <t>Central City</t>
  </si>
  <si>
    <t>New Elevated Storage Tank</t>
  </si>
  <si>
    <t xml:space="preserve"> NW Irvinedale Elevated Storage Tank</t>
  </si>
  <si>
    <t>North Phase WTP Expansion</t>
  </si>
  <si>
    <t>R</t>
  </si>
  <si>
    <t>Hiawatha</t>
  </si>
  <si>
    <t>Replacement of mains on Robins Rd</t>
  </si>
  <si>
    <t>7th Ave Water Main</t>
  </si>
  <si>
    <t>Thompson</t>
  </si>
  <si>
    <t>PD-DW-23-19</t>
  </si>
  <si>
    <t>P&amp;D for Water Main System Rehabiliation</t>
  </si>
  <si>
    <t>PD-DW-23-18</t>
  </si>
  <si>
    <t>P&amp;D for Construction of New Drinking Water Treatment Facility</t>
  </si>
  <si>
    <t>PD-DW-23-23</t>
  </si>
  <si>
    <t>P&amp;D for Water Line &amp; Pipe Replacement</t>
  </si>
  <si>
    <t>Montezuma Municipal Water Works</t>
  </si>
  <si>
    <t>New Jordan Well Construction</t>
  </si>
  <si>
    <t>Transmission Main Replacement</t>
  </si>
  <si>
    <t xml:space="preserve">Lead Service Line Replacement Phase 1 </t>
  </si>
  <si>
    <t>Bondurant Municipal Water Supply</t>
  </si>
  <si>
    <t>Elevated Storage Tank New Construction</t>
  </si>
  <si>
    <t>New Water Treatment Facility Construction</t>
  </si>
  <si>
    <t>Eagle Street and Althauser Street Water &amp; Sewer Replacement</t>
  </si>
  <si>
    <t>Water Meter Replacement</t>
  </si>
  <si>
    <t>Rock Rapids</t>
  </si>
  <si>
    <t>Lewis &amp; Clark Service Connection Phase 3</t>
  </si>
  <si>
    <t>New Booster Station and Ground Storage Reservoir</t>
  </si>
  <si>
    <t>Remsen</t>
  </si>
  <si>
    <t>New R/O Treatment Plant</t>
  </si>
  <si>
    <t>Water System Improvements - Connection Fee Only</t>
  </si>
  <si>
    <t>Water Treatment Plant Filter Replacement</t>
  </si>
  <si>
    <t>PD-DW-22-57</t>
  </si>
  <si>
    <t>P&amp;D for Construction of Water Main Transmission</t>
  </si>
  <si>
    <t>Construction of New Elevated Tank, New Ground Storage, New Well and Well Pipe</t>
  </si>
  <si>
    <t>Construction of New Water Treatment Plant, Booster Station and Ground Storage</t>
  </si>
  <si>
    <t>Westfield</t>
  </si>
  <si>
    <t>Construction of New Well and Water Treatment Plant</t>
  </si>
  <si>
    <t>Water Distribution System Improvements</t>
  </si>
  <si>
    <t>Hedrick</t>
  </si>
  <si>
    <t>FS-31-22-DWSRF-025</t>
  </si>
  <si>
    <t>2022 Water System Improvements</t>
  </si>
  <si>
    <t>New Well for Arsenic Mitigation in Raw Water</t>
  </si>
  <si>
    <t>Greeley Street Water &amp; Sanitary Improvements</t>
  </si>
  <si>
    <t>Guttenberg</t>
  </si>
  <si>
    <t>Water Supply, Distribution and Storage Facilities Improvements</t>
  </si>
  <si>
    <t>PD-DW-22-16</t>
  </si>
  <si>
    <t>P&amp;D for Existing Treatment System Improvements</t>
  </si>
  <si>
    <t>Lanesboro</t>
  </si>
  <si>
    <t>FS-01-22-DWSRF-006</t>
  </si>
  <si>
    <t>PD-DW-21-53</t>
  </si>
  <si>
    <t>P&amp;D for Drinking Water System Upgrades</t>
  </si>
  <si>
    <t>PD-DW-21-56</t>
  </si>
  <si>
    <t>P&amp;D for Water Distribution System Replacement</t>
  </si>
  <si>
    <t>Guthrie Center</t>
  </si>
  <si>
    <t>FS-99-21-DWSRF-022</t>
  </si>
  <si>
    <t>PD-DW-21-38</t>
  </si>
  <si>
    <t>P&amp;D for New Well &amp; Watermain</t>
  </si>
  <si>
    <t>Tama</t>
  </si>
  <si>
    <t>FS-82-21-DWSRF-014</t>
  </si>
  <si>
    <t>Elkhart</t>
  </si>
  <si>
    <t>Water Treatment Facility Expansion</t>
  </si>
  <si>
    <t>6th Avenue Water Main Replacement</t>
  </si>
  <si>
    <t>North River Valley Well field &amp; Pipeline</t>
  </si>
  <si>
    <t>ASR Well</t>
  </si>
  <si>
    <t>Water Distribution Improvements</t>
  </si>
  <si>
    <t>Storage Tank Rehabilitation</t>
  </si>
  <si>
    <t>Dayton</t>
  </si>
  <si>
    <t>Municipal Water Well Reconstruction and Water Main Repair</t>
  </si>
  <si>
    <t>Connection to IRUA</t>
  </si>
  <si>
    <t>PD-DW-20-33</t>
  </si>
  <si>
    <t>Water Main Installation</t>
  </si>
  <si>
    <t>Water Supply Improvements</t>
  </si>
  <si>
    <t>Eagle Grove</t>
  </si>
  <si>
    <t>Jamaica</t>
  </si>
  <si>
    <t>WTP #2 Improvements</t>
  </si>
  <si>
    <t>Cleghorn</t>
  </si>
  <si>
    <t>Replace aging water tower, install water mains to tower, add emergency generator at water treatment plant</t>
  </si>
  <si>
    <t>Municipal Water Filtration Improvements</t>
  </si>
  <si>
    <t>PD-DW-19-13</t>
  </si>
  <si>
    <t>Construction of new water main connecting to Marshalltown Water Works</t>
  </si>
  <si>
    <t>PD-DW-19-15</t>
  </si>
  <si>
    <t>Construction of 2700 sf Radium Treatment Facility</t>
  </si>
  <si>
    <t>Addition of solar panels at six booster stations and water towers to reduce operational cost and improve resiliency</t>
  </si>
  <si>
    <t>PD-DW-18-30</t>
  </si>
  <si>
    <t>Plan for new water source and water treatment options</t>
  </si>
  <si>
    <t>Rathbun Regional Water (RRWA)</t>
  </si>
  <si>
    <t>Replacement of of aging water meters with a new advanced/smart metering system.</t>
  </si>
  <si>
    <t>Water meter replacement</t>
  </si>
  <si>
    <t>Alta</t>
  </si>
  <si>
    <t>Churdan</t>
  </si>
  <si>
    <t>Keokuk</t>
  </si>
  <si>
    <t>Oskaloosa</t>
  </si>
  <si>
    <t xml:space="preserve">MacBride Pointe </t>
  </si>
  <si>
    <t>Osceola County RWS</t>
  </si>
  <si>
    <t>Park View</t>
  </si>
  <si>
    <t>West Point</t>
  </si>
  <si>
    <t>LSL F Ave NW and 13th St NW Water Service Line Transfers</t>
  </si>
  <si>
    <t>New Well (PFAS)</t>
  </si>
  <si>
    <t>Quad Cities Elevated Storage Tank and Booster Station</t>
  </si>
  <si>
    <t>Water Treatment Plant Improvements (PFAS)</t>
  </si>
  <si>
    <t>Well #10 Access Road Phase 2</t>
  </si>
  <si>
    <t>PD-DW-24-32</t>
  </si>
  <si>
    <t>New Jordan Well &amp; Plant Upgrades</t>
  </si>
  <si>
    <t>Randolph</t>
  </si>
  <si>
    <t>New Albin</t>
  </si>
  <si>
    <t>Urbana</t>
  </si>
  <si>
    <t>Correctionville</t>
  </si>
  <si>
    <t xml:space="preserve">Eldora </t>
  </si>
  <si>
    <t xml:space="preserve">FS-88-24-DWSRF-041 </t>
  </si>
  <si>
    <t xml:space="preserve">FS-36-24-DWSRF-044 </t>
  </si>
  <si>
    <t xml:space="preserve">FS-03-24-DWSRF-042 </t>
  </si>
  <si>
    <t xml:space="preserve">FS-06-24-DWSRF-045 </t>
  </si>
  <si>
    <t xml:space="preserve">FS-78-24-DWSRF-047 </t>
  </si>
  <si>
    <t xml:space="preserve">FS-78-24-DWSRF-048 </t>
  </si>
  <si>
    <t xml:space="preserve">FS-97-24-DWSRF-046 </t>
  </si>
  <si>
    <t xml:space="preserve">FS-42-24-DWSRF-051 </t>
  </si>
  <si>
    <t xml:space="preserve">FS-52-24-DWSRF-049 </t>
  </si>
  <si>
    <t xml:space="preserve">FS-50-24-DWSRF-050 </t>
  </si>
  <si>
    <t xml:space="preserve">FS-70-24-DWSRF-052 </t>
  </si>
  <si>
    <t>Water Source, Treatment, Storage and Distribution System</t>
  </si>
  <si>
    <t>Well #2 Improvements</t>
  </si>
  <si>
    <t>2025 Water System Improvements</t>
  </si>
  <si>
    <t>2023 Water Supply Wells</t>
  </si>
  <si>
    <t>CBWW Narrows WTP High Service Pump Station</t>
  </si>
  <si>
    <t>SCADA Upgrade</t>
  </si>
  <si>
    <t>Well 16 Improvements</t>
  </si>
  <si>
    <t>Phase 2 Water Main Replacement</t>
  </si>
  <si>
    <t>Dubuque (Phase 1 LSL)</t>
  </si>
  <si>
    <t>PD-DW-24-02</t>
  </si>
  <si>
    <t>PD-DW-24-07</t>
  </si>
  <si>
    <t>PD-DW-24-09</t>
  </si>
  <si>
    <t>Iowa American Water - Clinton (LSL)</t>
  </si>
  <si>
    <t>Dubuque (Phase 2 LSL)</t>
  </si>
  <si>
    <t>Dubuque (Phase 3 LSL)</t>
  </si>
  <si>
    <t>Council Bluffs (LSL)</t>
  </si>
  <si>
    <t>Cedar Rapids -  F Ave NW &amp; 13th St NW (LSL)</t>
  </si>
  <si>
    <t>Cedar Rapids - 2024 Project (LSL)</t>
  </si>
  <si>
    <t>Burlington (PFAS)</t>
  </si>
  <si>
    <t>Rock Valley (PFAS)</t>
  </si>
  <si>
    <t>New Water Treatment Plant</t>
  </si>
  <si>
    <t>New Well and Generator</t>
  </si>
  <si>
    <t>New Jordan Supply Well and Transmission</t>
  </si>
  <si>
    <t>Project Status</t>
  </si>
  <si>
    <t>Abbreviations</t>
  </si>
  <si>
    <t>Dropped -- D</t>
  </si>
  <si>
    <t>Ready for Loan -- R</t>
  </si>
  <si>
    <t>Loan Signed -- L</t>
  </si>
  <si>
    <t>Planning Stage -- P</t>
  </si>
  <si>
    <t>CAP = Federal Capitalization Grant</t>
  </si>
  <si>
    <t xml:space="preserve">P&amp;D = Planning and Design Loan  </t>
  </si>
  <si>
    <t>LSL = Lead Service Line</t>
  </si>
  <si>
    <t>PFAS/EC - PFAS Emerging Contaminates</t>
  </si>
  <si>
    <t>Woolstock</t>
  </si>
  <si>
    <t>Goodell</t>
  </si>
  <si>
    <t>Russell</t>
  </si>
  <si>
    <t>Long Grove</t>
  </si>
  <si>
    <t>Water Treatment Plant Construction</t>
  </si>
  <si>
    <t>New well and disbribution improvements</t>
  </si>
  <si>
    <t>Well and well house</t>
  </si>
  <si>
    <t>Ground storage tank and booster station</t>
  </si>
  <si>
    <t>Rehabilitation or construction of a new water treatment plant</t>
  </si>
  <si>
    <t>Distribution system improvements</t>
  </si>
  <si>
    <t>New well, treatment plant rehab, new elevated stroage tank, water main replacement, and new flow meters</t>
  </si>
  <si>
    <t>Water treatment facility improvements</t>
  </si>
  <si>
    <t>Construction of 2 new wells and Fe &amp; MN treatment plant for these wells</t>
  </si>
  <si>
    <t>New distribution system and water plant and well rehab</t>
  </si>
  <si>
    <t>New well (#3), new water treatment plant, water meters, and water tower mixer</t>
  </si>
  <si>
    <t>Water main and water tower replacement</t>
  </si>
  <si>
    <t>Rehab of 2 MG ground storage reservoir</t>
  </si>
  <si>
    <t>Creston (LSL)</t>
  </si>
  <si>
    <t>Muscatine Power &amp; Water (LSL)</t>
  </si>
  <si>
    <t>PD-DW-24-61</t>
  </si>
  <si>
    <t>PD-DW-24-62</t>
  </si>
  <si>
    <t>PD-DW-24-63</t>
  </si>
  <si>
    <t>PD-DW-24-64</t>
  </si>
  <si>
    <t>PD-DW-24-65</t>
  </si>
  <si>
    <t>PD-DW-24-69</t>
  </si>
  <si>
    <t>PD-DW-24-68</t>
  </si>
  <si>
    <t>PD-DW-24-66</t>
  </si>
  <si>
    <t xml:space="preserve">
PD-DW-24-58
</t>
  </si>
  <si>
    <t>PD-DW-24-53</t>
  </si>
  <si>
    <t>PD-DW-24-59</t>
  </si>
  <si>
    <t>PD-DW-24-60</t>
  </si>
  <si>
    <t>PD-DW-2467</t>
  </si>
  <si>
    <t>Ames (PFAS)</t>
  </si>
  <si>
    <t>IUP Yr</t>
  </si>
  <si>
    <t>Funding Source</t>
  </si>
  <si>
    <t>Project Name</t>
  </si>
  <si>
    <t>DWSRF No.</t>
  </si>
  <si>
    <t>Qtr</t>
  </si>
  <si>
    <t>Current Funding Request</t>
  </si>
  <si>
    <t>Remaining Amount on IUP</t>
  </si>
  <si>
    <t>Base 
BIL GS</t>
  </si>
  <si>
    <t xml:space="preserve">LSL </t>
  </si>
  <si>
    <t>Contingent -- C</t>
  </si>
  <si>
    <t>BIL GS= Bipartisan Infrastructure Law General Supplemental Fund</t>
  </si>
  <si>
    <t>IUP YR = Intended Use Plan Year</t>
  </si>
  <si>
    <t>QTR = State Fiscal Year Quarter</t>
  </si>
  <si>
    <t>Most Recent Loan</t>
  </si>
  <si>
    <t>Total Loan Amount To Date</t>
  </si>
  <si>
    <t>Connection from Manson to Fort Dodge Municipal Water System</t>
  </si>
  <si>
    <t>Pop</t>
  </si>
  <si>
    <t>Ruthven</t>
  </si>
  <si>
    <t>FS-74-15-DWSRF-006</t>
  </si>
  <si>
    <t xml:space="preserve">New well to replace Well #1, aeralator rehab, control panel replacement, water main replacement to improve pressure and add new valves and hydrants; treament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</si>
</sst>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mm/dd/yy"/>
    <numFmt numFmtId="167" formatCode="[$-409]dddd\,\ mmmm\ dd\,\ yyyy"/>
    <numFmt numFmtId="168" formatCode="[$-409]h:mm:ss\ AM/PM"/>
    <numFmt numFmtId="169" formatCode="[$-409]dddd\,\ mmmm\ d\,\ yyyy"/>
    <numFmt numFmtId="170" formatCode="#,##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/dd/yy;@"/>
    <numFmt numFmtId="176" formatCode="[$-F800]dddd\,\ mmmm\ dd\,\ yyyy"/>
    <numFmt numFmtId="177" formatCode="&quot;$&quot;#,##0"/>
    <numFmt numFmtId="178" formatCode="m/d/yy"/>
    <numFmt numFmtId="179" formatCode="_(&quot;$&quot;* #,##0_);_(&quot;$&quot;* \(#,##0\);_(&quot;$&quot;* &quot;-&quot;??_);_(@_)"/>
    <numFmt numFmtId="180" formatCode="m/d/yy;@"/>
    <numFmt numFmtId="181" formatCode="&quot;$&quot;#,##0.00"/>
  </numFmts>
  <fonts count="60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sz val="10"/>
      <color indexed="10"/>
      <name val="Arial"/>
      <family val="2"/>
    </font>
    <font>
      <sz val="8"/>
      <name val="Courier"/>
      <family val="3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1"/>
      <name val="Arial"/>
      <family val="2"/>
    </font>
    <font>
      <sz val="8"/>
      <color indexed="11"/>
      <name val="Arial"/>
      <family val="2"/>
    </font>
    <font>
      <sz val="10"/>
      <color indexed="17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CC66"/>
      <name val="Arial"/>
      <family val="2"/>
    </font>
    <font>
      <sz val="8"/>
      <color rgb="FF00CC66"/>
      <name val="Arial"/>
      <family val="2"/>
    </font>
    <font>
      <sz val="10"/>
      <color rgb="FF00B050"/>
      <name val="Arial"/>
      <family val="2"/>
    </font>
    <font>
      <b/>
      <sz val="8"/>
      <name val="Courie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165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188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4" fontId="2" fillId="0" borderId="0" xfId="0" applyNumberFormat="1" applyFont="1" applyAlignment="1">
      <alignment horizontal="center"/>
    </xf>
    <xf numFmtId="164" fontId="3" fillId="0" borderId="0" xfId="0" applyFont="1" applyAlignment="1">
      <alignment horizontal="left"/>
    </xf>
    <xf numFmtId="164" fontId="3" fillId="0" borderId="0" xfId="0" applyFont="1" applyAlignment="1" applyProtection="1">
      <alignment horizontal="center"/>
      <protection/>
    </xf>
    <xf numFmtId="14" fontId="3" fillId="0" borderId="0" xfId="0" applyNumberFormat="1" applyFont="1" applyAlignment="1" applyProtection="1">
      <alignment horizontal="center"/>
      <protection/>
    </xf>
    <xf numFmtId="4" fontId="3" fillId="0" borderId="0" xfId="0" applyNumberFormat="1" applyFont="1" applyAlignment="1" applyProtection="1">
      <alignment horizontal="center"/>
      <protection/>
    </xf>
    <xf numFmtId="164" fontId="3" fillId="0" borderId="0" xfId="0" applyFont="1" applyAlignment="1">
      <alignment horizontal="center"/>
    </xf>
    <xf numFmtId="164" fontId="3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left"/>
      <protection locked="0"/>
    </xf>
    <xf numFmtId="164" fontId="2" fillId="0" borderId="0" xfId="0" applyFont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10" fontId="2" fillId="0" borderId="0" xfId="63" applyNumberFormat="1" applyFont="1" applyAlignment="1" applyProtection="1">
      <alignment horizontal="center"/>
      <protection locked="0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 applyProtection="1">
      <alignment horizontal="right"/>
      <protection locked="0"/>
    </xf>
    <xf numFmtId="164" fontId="2" fillId="0" borderId="0" xfId="0" applyFont="1" applyAlignment="1" applyProtection="1" quotePrefix="1">
      <alignment horizontal="center"/>
      <protection locked="0"/>
    </xf>
    <xf numFmtId="164" fontId="2" fillId="0" borderId="0" xfId="0" applyFont="1" applyAlignment="1" quotePrefix="1">
      <alignment horizontal="center"/>
    </xf>
    <xf numFmtId="164" fontId="4" fillId="0" borderId="0" xfId="0" applyFont="1" applyAlignment="1">
      <alignment horizontal="left"/>
    </xf>
    <xf numFmtId="164" fontId="4" fillId="0" borderId="0" xfId="0" applyFont="1" applyAlignment="1" applyProtection="1">
      <alignment horizontal="left"/>
      <protection locked="0"/>
    </xf>
    <xf numFmtId="14" fontId="5" fillId="0" borderId="0" xfId="0" applyNumberFormat="1" applyFont="1" applyAlignment="1" applyProtection="1">
      <alignment horizontal="center"/>
      <protection locked="0"/>
    </xf>
    <xf numFmtId="166" fontId="3" fillId="0" borderId="0" xfId="0" applyNumberFormat="1" applyFont="1" applyAlignment="1" applyProtection="1">
      <alignment horizontal="center"/>
      <protection/>
    </xf>
    <xf numFmtId="166" fontId="2" fillId="0" borderId="0" xfId="0" applyNumberFormat="1" applyFont="1" applyAlignment="1" applyProtection="1">
      <alignment horizontal="center"/>
      <protection locked="0"/>
    </xf>
    <xf numFmtId="166" fontId="2" fillId="0" borderId="0" xfId="0" applyNumberFormat="1" applyFont="1" applyAlignment="1">
      <alignment horizontal="center"/>
    </xf>
    <xf numFmtId="166" fontId="4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>
      <alignment horizontal="center"/>
    </xf>
    <xf numFmtId="164" fontId="2" fillId="0" borderId="0" xfId="0" applyFont="1" applyAlignment="1">
      <alignment horizontal="center" wrapText="1"/>
    </xf>
    <xf numFmtId="164" fontId="10" fillId="33" borderId="0" xfId="0" applyFont="1" applyFill="1" applyAlignment="1" applyProtection="1">
      <alignment horizontal="left"/>
      <protection locked="0"/>
    </xf>
    <xf numFmtId="164" fontId="2" fillId="33" borderId="0" xfId="0" applyFont="1" applyFill="1" applyAlignment="1" applyProtection="1">
      <alignment horizontal="center"/>
      <protection locked="0"/>
    </xf>
    <xf numFmtId="164" fontId="2" fillId="33" borderId="0" xfId="0" applyFont="1" applyFill="1" applyAlignment="1" quotePrefix="1">
      <alignment horizontal="center"/>
    </xf>
    <xf numFmtId="166" fontId="2" fillId="33" borderId="0" xfId="0" applyNumberFormat="1" applyFont="1" applyFill="1" applyAlignment="1" applyProtection="1">
      <alignment horizontal="center"/>
      <protection locked="0"/>
    </xf>
    <xf numFmtId="166" fontId="2" fillId="33" borderId="0" xfId="0" applyNumberFormat="1" applyFont="1" applyFill="1" applyAlignment="1">
      <alignment horizontal="center"/>
    </xf>
    <xf numFmtId="14" fontId="2" fillId="33" borderId="0" xfId="0" applyNumberFormat="1" applyFont="1" applyFill="1" applyAlignment="1">
      <alignment horizontal="center"/>
    </xf>
    <xf numFmtId="4" fontId="2" fillId="33" borderId="0" xfId="0" applyNumberFormat="1" applyFont="1" applyFill="1" applyAlignment="1">
      <alignment horizontal="right"/>
    </xf>
    <xf numFmtId="166" fontId="4" fillId="33" borderId="0" xfId="0" applyNumberFormat="1" applyFont="1" applyFill="1" applyAlignment="1">
      <alignment horizontal="center"/>
    </xf>
    <xf numFmtId="166" fontId="5" fillId="0" borderId="0" xfId="0" applyNumberFormat="1" applyFont="1" applyAlignment="1" quotePrefix="1">
      <alignment horizontal="left"/>
    </xf>
    <xf numFmtId="166" fontId="4" fillId="34" borderId="0" xfId="0" applyNumberFormat="1" applyFont="1" applyFill="1" applyAlignment="1" applyProtection="1">
      <alignment horizontal="center"/>
      <protection locked="0"/>
    </xf>
    <xf numFmtId="166" fontId="2" fillId="34" borderId="0" xfId="0" applyNumberFormat="1" applyFont="1" applyFill="1" applyAlignment="1">
      <alignment horizontal="center"/>
    </xf>
    <xf numFmtId="4" fontId="4" fillId="34" borderId="0" xfId="0" applyNumberFormat="1" applyFont="1" applyFill="1" applyAlignment="1" applyProtection="1">
      <alignment horizontal="right"/>
      <protection locked="0"/>
    </xf>
    <xf numFmtId="4" fontId="2" fillId="34" borderId="0" xfId="0" applyNumberFormat="1" applyFont="1" applyFill="1" applyAlignment="1">
      <alignment horizontal="right"/>
    </xf>
    <xf numFmtId="166" fontId="2" fillId="34" borderId="0" xfId="0" applyNumberFormat="1" applyFont="1" applyFill="1" applyAlignment="1" applyProtection="1">
      <alignment horizontal="center"/>
      <protection locked="0"/>
    </xf>
    <xf numFmtId="164" fontId="4" fillId="34" borderId="0" xfId="0" applyFont="1" applyFill="1" applyAlignment="1" applyProtection="1">
      <alignment horizontal="left"/>
      <protection locked="0"/>
    </xf>
    <xf numFmtId="164" fontId="2" fillId="34" borderId="0" xfId="0" applyFont="1" applyFill="1" applyAlignment="1">
      <alignment horizontal="center"/>
    </xf>
    <xf numFmtId="164" fontId="8" fillId="34" borderId="0" xfId="0" applyFont="1" applyFill="1" applyAlignment="1">
      <alignment horizontal="center"/>
    </xf>
    <xf numFmtId="164" fontId="4" fillId="34" borderId="0" xfId="0" applyFont="1" applyFill="1" applyAlignment="1">
      <alignment horizontal="center"/>
    </xf>
    <xf numFmtId="14" fontId="5" fillId="34" borderId="0" xfId="0" applyNumberFormat="1" applyFont="1" applyFill="1" applyAlignment="1" applyProtection="1">
      <alignment horizontal="center"/>
      <protection locked="0"/>
    </xf>
    <xf numFmtId="164" fontId="3" fillId="34" borderId="0" xfId="0" applyFont="1" applyFill="1" applyAlignment="1">
      <alignment horizontal="left"/>
    </xf>
    <xf numFmtId="164" fontId="3" fillId="34" borderId="0" xfId="0" applyFont="1" applyFill="1" applyAlignment="1" applyProtection="1">
      <alignment horizontal="center"/>
      <protection/>
    </xf>
    <xf numFmtId="166" fontId="3" fillId="34" borderId="0" xfId="0" applyNumberFormat="1" applyFont="1" applyFill="1" applyAlignment="1" applyProtection="1">
      <alignment horizontal="center"/>
      <protection/>
    </xf>
    <xf numFmtId="14" fontId="3" fillId="34" borderId="0" xfId="0" applyNumberFormat="1" applyFont="1" applyFill="1" applyAlignment="1" applyProtection="1">
      <alignment horizontal="center"/>
      <protection/>
    </xf>
    <xf numFmtId="4" fontId="3" fillId="34" borderId="0" xfId="0" applyNumberFormat="1" applyFont="1" applyFill="1" applyAlignment="1" applyProtection="1">
      <alignment horizontal="center"/>
      <protection/>
    </xf>
    <xf numFmtId="166" fontId="9" fillId="34" borderId="0" xfId="0" applyNumberFormat="1" applyFont="1" applyFill="1" applyAlignment="1" applyProtection="1">
      <alignment horizontal="center"/>
      <protection/>
    </xf>
    <xf numFmtId="164" fontId="3" fillId="34" borderId="0" xfId="0" applyFont="1" applyFill="1" applyAlignment="1">
      <alignment horizontal="center"/>
    </xf>
    <xf numFmtId="10" fontId="3" fillId="34" borderId="0" xfId="63" applyNumberFormat="1" applyFont="1" applyFill="1" applyAlignment="1" applyProtection="1">
      <alignment horizontal="center"/>
      <protection/>
    </xf>
    <xf numFmtId="164" fontId="11" fillId="34" borderId="0" xfId="0" applyFont="1" applyFill="1" applyAlignment="1">
      <alignment horizontal="center"/>
    </xf>
    <xf numFmtId="164" fontId="3" fillId="34" borderId="0" xfId="0" applyFont="1" applyFill="1" applyAlignment="1" applyProtection="1">
      <alignment horizontal="left"/>
      <protection/>
    </xf>
    <xf numFmtId="164" fontId="3" fillId="34" borderId="0" xfId="0" applyFont="1" applyFill="1" applyAlignment="1" quotePrefix="1">
      <alignment horizontal="center"/>
    </xf>
    <xf numFmtId="0" fontId="0" fillId="34" borderId="0" xfId="0" applyNumberFormat="1" applyFont="1" applyFill="1" applyAlignment="1" quotePrefix="1">
      <alignment horizontal="left" vertical="distributed" textRotation="88" indent="69"/>
    </xf>
    <xf numFmtId="164" fontId="2" fillId="34" borderId="0" xfId="0" applyFont="1" applyFill="1" applyAlignment="1" applyProtection="1">
      <alignment horizontal="left"/>
      <protection/>
    </xf>
    <xf numFmtId="164" fontId="2" fillId="34" borderId="0" xfId="0" applyFont="1" applyFill="1" applyAlignment="1" applyProtection="1">
      <alignment horizontal="center"/>
      <protection/>
    </xf>
    <xf numFmtId="166" fontId="2" fillId="34" borderId="0" xfId="0" applyNumberFormat="1" applyFont="1" applyFill="1" applyAlignment="1" applyProtection="1">
      <alignment horizontal="center"/>
      <protection/>
    </xf>
    <xf numFmtId="14" fontId="2" fillId="34" borderId="0" xfId="0" applyNumberFormat="1" applyFont="1" applyFill="1" applyAlignment="1" applyProtection="1">
      <alignment horizontal="center"/>
      <protection/>
    </xf>
    <xf numFmtId="4" fontId="2" fillId="34" borderId="0" xfId="0" applyNumberFormat="1" applyFont="1" applyFill="1" applyAlignment="1" applyProtection="1">
      <alignment horizontal="right"/>
      <protection/>
    </xf>
    <xf numFmtId="166" fontId="4" fillId="34" borderId="0" xfId="0" applyNumberFormat="1" applyFont="1" applyFill="1" applyAlignment="1" applyProtection="1">
      <alignment horizontal="center"/>
      <protection/>
    </xf>
    <xf numFmtId="10" fontId="2" fillId="34" borderId="0" xfId="63" applyNumberFormat="1" applyFont="1" applyFill="1" applyAlignment="1" applyProtection="1">
      <alignment horizontal="center"/>
      <protection/>
    </xf>
    <xf numFmtId="164" fontId="2" fillId="34" borderId="0" xfId="0" applyFont="1" applyFill="1" applyAlignment="1" applyProtection="1">
      <alignment horizontal="center"/>
      <protection locked="0"/>
    </xf>
    <xf numFmtId="14" fontId="2" fillId="34" borderId="0" xfId="0" applyNumberFormat="1" applyFont="1" applyFill="1" applyAlignment="1" applyProtection="1">
      <alignment horizontal="center"/>
      <protection locked="0"/>
    </xf>
    <xf numFmtId="4" fontId="2" fillId="34" borderId="0" xfId="0" applyNumberFormat="1" applyFont="1" applyFill="1" applyAlignment="1" applyProtection="1">
      <alignment horizontal="right"/>
      <protection locked="0"/>
    </xf>
    <xf numFmtId="166" fontId="4" fillId="34" borderId="0" xfId="0" applyNumberFormat="1" applyFont="1" applyFill="1" applyAlignment="1">
      <alignment horizontal="center"/>
    </xf>
    <xf numFmtId="10" fontId="2" fillId="34" borderId="0" xfId="63" applyNumberFormat="1" applyFont="1" applyFill="1" applyAlignment="1" applyProtection="1">
      <alignment horizontal="center"/>
      <protection locked="0"/>
    </xf>
    <xf numFmtId="164" fontId="4" fillId="34" borderId="0" xfId="0" applyFont="1" applyFill="1" applyAlignment="1" quotePrefix="1">
      <alignment horizontal="center"/>
    </xf>
    <xf numFmtId="164" fontId="2" fillId="34" borderId="0" xfId="0" applyFont="1" applyFill="1" applyAlignment="1" quotePrefix="1">
      <alignment horizontal="center"/>
    </xf>
    <xf numFmtId="164" fontId="2" fillId="34" borderId="0" xfId="0" applyFont="1" applyFill="1" applyAlignment="1" applyProtection="1" quotePrefix="1">
      <alignment horizontal="center"/>
      <protection locked="0"/>
    </xf>
    <xf numFmtId="164" fontId="2" fillId="34" borderId="0" xfId="0" applyFont="1" applyFill="1" applyAlignment="1">
      <alignment horizontal="left"/>
    </xf>
    <xf numFmtId="14" fontId="2" fillId="34" borderId="0" xfId="0" applyNumberFormat="1" applyFont="1" applyFill="1" applyAlignment="1">
      <alignment horizontal="center"/>
    </xf>
    <xf numFmtId="14" fontId="4" fillId="34" borderId="0" xfId="0" applyNumberFormat="1" applyFont="1" applyFill="1" applyAlignment="1" applyProtection="1">
      <alignment horizontal="center"/>
      <protection locked="0"/>
    </xf>
    <xf numFmtId="164" fontId="4" fillId="34" borderId="0" xfId="0" applyFont="1" applyFill="1" applyAlignment="1" applyProtection="1">
      <alignment horizontal="center"/>
      <protection locked="0"/>
    </xf>
    <xf numFmtId="10" fontId="4" fillId="34" borderId="0" xfId="63" applyNumberFormat="1" applyFont="1" applyFill="1" applyAlignment="1" applyProtection="1">
      <alignment horizontal="center"/>
      <protection locked="0"/>
    </xf>
    <xf numFmtId="10" fontId="2" fillId="34" borderId="0" xfId="63" applyNumberFormat="1" applyFont="1" applyFill="1" applyAlignment="1">
      <alignment horizontal="center"/>
    </xf>
    <xf numFmtId="4" fontId="2" fillId="34" borderId="10" xfId="0" applyNumberFormat="1" applyFont="1" applyFill="1" applyBorder="1" applyAlignment="1">
      <alignment horizontal="right"/>
    </xf>
    <xf numFmtId="164" fontId="13" fillId="34" borderId="0" xfId="0" applyFont="1" applyFill="1" applyAlignment="1">
      <alignment horizontal="center" wrapText="1"/>
    </xf>
    <xf numFmtId="166" fontId="14" fillId="34" borderId="0" xfId="0" applyNumberFormat="1" applyFont="1" applyFill="1" applyAlignment="1">
      <alignment horizontal="center"/>
    </xf>
    <xf numFmtId="166" fontId="14" fillId="34" borderId="0" xfId="0" applyNumberFormat="1" applyFont="1" applyFill="1" applyAlignment="1">
      <alignment horizontal="right"/>
    </xf>
    <xf numFmtId="4" fontId="14" fillId="34" borderId="0" xfId="0" applyNumberFormat="1" applyFont="1" applyFill="1" applyAlignment="1">
      <alignment horizontal="right"/>
    </xf>
    <xf numFmtId="164" fontId="5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4" fontId="4" fillId="0" borderId="0" xfId="0" applyFont="1" applyAlignment="1" quotePrefix="1">
      <alignment horizontal="center"/>
    </xf>
    <xf numFmtId="1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164" fontId="4" fillId="0" borderId="0" xfId="0" applyFont="1" applyAlignment="1" applyProtection="1">
      <alignment horizontal="center"/>
      <protection locked="0"/>
    </xf>
    <xf numFmtId="164" fontId="5" fillId="34" borderId="0" xfId="0" applyFont="1" applyFill="1" applyAlignment="1">
      <alignment horizontal="center"/>
    </xf>
    <xf numFmtId="164" fontId="2" fillId="34" borderId="0" xfId="0" applyFont="1" applyFill="1" applyAlignment="1" applyProtection="1">
      <alignment horizontal="left"/>
      <protection locked="0"/>
    </xf>
    <xf numFmtId="166" fontId="2" fillId="34" borderId="0" xfId="0" applyNumberFormat="1" applyFont="1" applyFill="1" applyAlignment="1">
      <alignment horizontal="left"/>
    </xf>
    <xf numFmtId="14" fontId="2" fillId="34" borderId="0" xfId="0" applyNumberFormat="1" applyFont="1" applyFill="1" applyAlignment="1" applyProtection="1">
      <alignment horizontal="center"/>
      <protection locked="0"/>
    </xf>
    <xf numFmtId="166" fontId="2" fillId="34" borderId="0" xfId="0" applyNumberFormat="1" applyFont="1" applyFill="1" applyAlignment="1">
      <alignment horizontal="center"/>
    </xf>
    <xf numFmtId="166" fontId="2" fillId="34" borderId="0" xfId="0" applyNumberFormat="1" applyFont="1" applyFill="1" applyAlignment="1" applyProtection="1">
      <alignment horizontal="center"/>
      <protection locked="0"/>
    </xf>
    <xf numFmtId="164" fontId="2" fillId="34" borderId="0" xfId="0" applyFont="1" applyFill="1" applyAlignment="1" quotePrefix="1">
      <alignment horizontal="center"/>
    </xf>
    <xf numFmtId="4" fontId="2" fillId="34" borderId="0" xfId="0" applyNumberFormat="1" applyFont="1" applyFill="1" applyAlignment="1" applyProtection="1">
      <alignment horizontal="right"/>
      <protection locked="0"/>
    </xf>
    <xf numFmtId="164" fontId="2" fillId="34" borderId="0" xfId="0" applyFont="1" applyFill="1" applyAlignment="1" applyProtection="1">
      <alignment horizontal="center"/>
      <protection locked="0"/>
    </xf>
    <xf numFmtId="10" fontId="2" fillId="34" borderId="0" xfId="63" applyNumberFormat="1" applyFont="1" applyFill="1" applyAlignment="1" applyProtection="1">
      <alignment horizontal="center"/>
      <protection locked="0"/>
    </xf>
    <xf numFmtId="164" fontId="2" fillId="34" borderId="0" xfId="0" applyFont="1" applyFill="1" applyAlignment="1">
      <alignment horizontal="center"/>
    </xf>
    <xf numFmtId="164" fontId="2" fillId="34" borderId="0" xfId="0" applyFont="1" applyFill="1" applyAlignment="1">
      <alignment horizontal="left"/>
    </xf>
    <xf numFmtId="4" fontId="2" fillId="34" borderId="0" xfId="0" applyNumberFormat="1" applyFont="1" applyFill="1" applyAlignment="1">
      <alignment horizontal="right"/>
    </xf>
    <xf numFmtId="164" fontId="2" fillId="0" borderId="0" xfId="0" applyFont="1" applyAlignment="1">
      <alignment horizontal="left"/>
    </xf>
    <xf numFmtId="164" fontId="56" fillId="34" borderId="0" xfId="0" applyFont="1" applyFill="1" applyAlignment="1" applyProtection="1">
      <alignment horizontal="left"/>
      <protection locked="0"/>
    </xf>
    <xf numFmtId="164" fontId="56" fillId="34" borderId="0" xfId="0" applyFont="1" applyFill="1" applyAlignment="1" applyProtection="1">
      <alignment horizontal="center"/>
      <protection locked="0"/>
    </xf>
    <xf numFmtId="164" fontId="56" fillId="34" borderId="0" xfId="0" applyFont="1" applyFill="1" applyAlignment="1" applyProtection="1" quotePrefix="1">
      <alignment horizontal="center"/>
      <protection locked="0"/>
    </xf>
    <xf numFmtId="166" fontId="56" fillId="34" borderId="0" xfId="0" applyNumberFormat="1" applyFont="1" applyFill="1" applyAlignment="1" applyProtection="1">
      <alignment horizontal="center"/>
      <protection locked="0"/>
    </xf>
    <xf numFmtId="14" fontId="56" fillId="34" borderId="0" xfId="0" applyNumberFormat="1" applyFont="1" applyFill="1" applyAlignment="1" applyProtection="1">
      <alignment horizontal="center"/>
      <protection locked="0"/>
    </xf>
    <xf numFmtId="4" fontId="56" fillId="34" borderId="0" xfId="0" applyNumberFormat="1" applyFont="1" applyFill="1" applyAlignment="1">
      <alignment horizontal="right"/>
    </xf>
    <xf numFmtId="4" fontId="56" fillId="34" borderId="0" xfId="0" applyNumberFormat="1" applyFont="1" applyFill="1" applyAlignment="1" applyProtection="1">
      <alignment horizontal="right"/>
      <protection locked="0"/>
    </xf>
    <xf numFmtId="10" fontId="56" fillId="34" borderId="0" xfId="63" applyNumberFormat="1" applyFont="1" applyFill="1" applyAlignment="1" applyProtection="1">
      <alignment horizontal="center"/>
      <protection locked="0"/>
    </xf>
    <xf numFmtId="164" fontId="56" fillId="34" borderId="0" xfId="0" applyFont="1" applyFill="1" applyAlignment="1">
      <alignment horizontal="center"/>
    </xf>
    <xf numFmtId="166" fontId="56" fillId="34" borderId="0" xfId="0" applyNumberFormat="1" applyFont="1" applyFill="1" applyAlignment="1">
      <alignment horizontal="center"/>
    </xf>
    <xf numFmtId="164" fontId="56" fillId="34" borderId="0" xfId="0" applyFont="1" applyFill="1" applyAlignment="1">
      <alignment horizontal="left"/>
    </xf>
    <xf numFmtId="14" fontId="56" fillId="34" borderId="0" xfId="0" applyNumberFormat="1" applyFont="1" applyFill="1" applyAlignment="1">
      <alignment horizontal="center"/>
    </xf>
    <xf numFmtId="164" fontId="2" fillId="0" borderId="0" xfId="0" applyFont="1" applyAlignment="1" applyProtection="1">
      <alignment horizontal="left"/>
      <protection locked="0"/>
    </xf>
    <xf numFmtId="166" fontId="57" fillId="34" borderId="0" xfId="0" applyNumberFormat="1" applyFont="1" applyFill="1" applyAlignment="1" applyProtection="1">
      <alignment horizontal="center"/>
      <protection locked="0"/>
    </xf>
    <xf numFmtId="166" fontId="58" fillId="34" borderId="0" xfId="0" applyNumberFormat="1" applyFont="1" applyFill="1" applyAlignment="1" applyProtection="1">
      <alignment horizontal="center"/>
      <protection locked="0"/>
    </xf>
    <xf numFmtId="166" fontId="58" fillId="34" borderId="0" xfId="0" applyNumberFormat="1" applyFont="1" applyFill="1" applyAlignment="1">
      <alignment horizontal="center"/>
    </xf>
    <xf numFmtId="164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64" fontId="2" fillId="0" borderId="11" xfId="0" applyFont="1" applyFill="1" applyBorder="1" applyAlignment="1" applyProtection="1">
      <alignment horizontal="center" vertical="center" wrapText="1"/>
      <protection locked="0"/>
    </xf>
    <xf numFmtId="164" fontId="3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1" xfId="44" applyNumberFormat="1" applyFont="1" applyFill="1" applyBorder="1" applyAlignment="1">
      <alignment horizontal="center" vertical="center" wrapText="1"/>
    </xf>
    <xf numFmtId="179" fontId="3" fillId="0" borderId="11" xfId="44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64" fontId="15" fillId="0" borderId="0" xfId="0" applyFont="1" applyBorder="1" applyAlignment="1">
      <alignment horizontal="center" vertical="center" wrapText="1"/>
    </xf>
    <xf numFmtId="164" fontId="15" fillId="0" borderId="0" xfId="0" applyFont="1" applyBorder="1" applyAlignment="1">
      <alignment horizontal="center" vertical="center"/>
    </xf>
    <xf numFmtId="164" fontId="15" fillId="0" borderId="12" xfId="0" applyFont="1" applyBorder="1" applyAlignment="1">
      <alignment horizontal="center" vertical="center" wrapText="1"/>
    </xf>
    <xf numFmtId="164" fontId="15" fillId="0" borderId="12" xfId="0" applyFont="1" applyBorder="1" applyAlignment="1">
      <alignment horizontal="center" vertical="center"/>
    </xf>
    <xf numFmtId="0" fontId="3" fillId="35" borderId="13" xfId="0" applyNumberFormat="1" applyFont="1" applyFill="1" applyBorder="1" applyAlignment="1">
      <alignment horizontal="center" vertical="center" wrapText="1"/>
    </xf>
    <xf numFmtId="164" fontId="3" fillId="35" borderId="13" xfId="0" applyFont="1" applyFill="1" applyBorder="1" applyAlignment="1">
      <alignment horizontal="center" vertical="center" wrapText="1"/>
    </xf>
    <xf numFmtId="164" fontId="15" fillId="0" borderId="11" xfId="0" applyFont="1" applyFill="1" applyBorder="1" applyAlignment="1">
      <alignment horizontal="center" vertical="center" wrapText="1"/>
    </xf>
    <xf numFmtId="0" fontId="15" fillId="0" borderId="11" xfId="42" applyNumberFormat="1" applyFont="1" applyFill="1" applyBorder="1" applyAlignment="1">
      <alignment horizontal="center" vertical="center" wrapText="1"/>
    </xf>
    <xf numFmtId="164" fontId="16" fillId="35" borderId="14" xfId="0" applyFont="1" applyFill="1" applyBorder="1" applyAlignment="1">
      <alignment horizontal="left" vertical="center" wrapText="1"/>
    </xf>
    <xf numFmtId="164" fontId="16" fillId="35" borderId="14" xfId="0" applyFont="1" applyFill="1" applyBorder="1" applyAlignment="1">
      <alignment horizontal="left" vertical="center"/>
    </xf>
    <xf numFmtId="164" fontId="15" fillId="35" borderId="15" xfId="0" applyFont="1" applyFill="1" applyBorder="1" applyAlignment="1">
      <alignment horizontal="center" vertical="center" wrapText="1"/>
    </xf>
    <xf numFmtId="164" fontId="15" fillId="35" borderId="15" xfId="0" applyFont="1" applyFill="1" applyBorder="1" applyAlignment="1">
      <alignment horizontal="center" vertical="center"/>
    </xf>
    <xf numFmtId="164" fontId="15" fillId="35" borderId="16" xfId="0" applyFont="1" applyFill="1" applyBorder="1" applyAlignment="1">
      <alignment horizontal="center" vertical="center"/>
    </xf>
    <xf numFmtId="164" fontId="15" fillId="0" borderId="17" xfId="0" applyFont="1" applyFill="1" applyBorder="1" applyAlignment="1">
      <alignment horizontal="left" vertical="center" wrapText="1"/>
    </xf>
    <xf numFmtId="164" fontId="15" fillId="0" borderId="17" xfId="0" applyFont="1" applyFill="1" applyBorder="1" applyAlignment="1">
      <alignment horizontal="left" vertical="center"/>
    </xf>
    <xf numFmtId="164" fontId="16" fillId="0" borderId="0" xfId="0" applyFont="1" applyBorder="1" applyAlignment="1">
      <alignment horizontal="center" vertical="center" wrapText="1"/>
    </xf>
    <xf numFmtId="164" fontId="15" fillId="0" borderId="18" xfId="0" applyFont="1" applyBorder="1" applyAlignment="1">
      <alignment horizontal="center" vertical="center"/>
    </xf>
    <xf numFmtId="164" fontId="15" fillId="0" borderId="18" xfId="0" applyFont="1" applyFill="1" applyBorder="1" applyAlignment="1">
      <alignment horizontal="center" vertical="center"/>
    </xf>
    <xf numFmtId="164" fontId="15" fillId="0" borderId="17" xfId="0" applyFont="1" applyFill="1" applyBorder="1" applyAlignment="1">
      <alignment horizontal="center" vertical="center"/>
    </xf>
    <xf numFmtId="164" fontId="15" fillId="0" borderId="19" xfId="0" applyFont="1" applyFill="1" applyBorder="1" applyAlignment="1">
      <alignment horizontal="center" vertical="center"/>
    </xf>
    <xf numFmtId="164" fontId="15" fillId="0" borderId="20" xfId="0" applyFont="1" applyFill="1" applyBorder="1" applyAlignment="1">
      <alignment horizontal="center" vertical="center"/>
    </xf>
    <xf numFmtId="1" fontId="3" fillId="35" borderId="13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44" fontId="3" fillId="35" borderId="13" xfId="44" applyFont="1" applyFill="1" applyBorder="1" applyAlignment="1">
      <alignment horizontal="center" vertical="center" wrapText="1"/>
    </xf>
    <xf numFmtId="44" fontId="2" fillId="0" borderId="11" xfId="44" applyFont="1" applyFill="1" applyBorder="1" applyAlignment="1">
      <alignment horizontal="center" vertical="center" wrapText="1"/>
    </xf>
    <xf numFmtId="14" fontId="3" fillId="35" borderId="13" xfId="0" applyNumberFormat="1" applyFont="1" applyFill="1" applyBorder="1" applyAlignment="1">
      <alignment horizontal="center" vertical="center" wrapText="1"/>
    </xf>
    <xf numFmtId="44" fontId="3" fillId="35" borderId="15" xfId="44" applyFont="1" applyFill="1" applyBorder="1" applyAlignment="1">
      <alignment horizontal="center" vertical="center" wrapText="1"/>
    </xf>
    <xf numFmtId="44" fontId="3" fillId="0" borderId="11" xfId="44" applyFont="1" applyFill="1" applyBorder="1" applyAlignment="1">
      <alignment horizontal="center" vertical="center" wrapText="1"/>
    </xf>
    <xf numFmtId="44" fontId="3" fillId="35" borderId="14" xfId="44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1" xfId="0" applyNumberFormat="1" applyFont="1" applyFill="1" applyBorder="1" applyAlignment="1">
      <alignment horizontal="center" vertical="center" wrapText="1"/>
    </xf>
    <xf numFmtId="44" fontId="2" fillId="0" borderId="11" xfId="44" applyFont="1" applyFill="1" applyBorder="1" applyAlignment="1" applyProtection="1">
      <alignment horizontal="center" vertical="center" wrapText="1"/>
      <protection locked="0"/>
    </xf>
    <xf numFmtId="1" fontId="2" fillId="0" borderId="11" xfId="0" applyNumberFormat="1" applyFont="1" applyFill="1" applyBorder="1" applyAlignment="1" quotePrefix="1">
      <alignment horizontal="center" vertical="center" wrapText="1"/>
    </xf>
    <xf numFmtId="164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4" fontId="2" fillId="0" borderId="11" xfId="44" applyFont="1" applyFill="1" applyBorder="1" applyAlignment="1">
      <alignment/>
    </xf>
    <xf numFmtId="44" fontId="2" fillId="0" borderId="11" xfId="44" applyFont="1" applyFill="1" applyBorder="1" applyAlignment="1">
      <alignment horizontal="center" vertical="center"/>
    </xf>
    <xf numFmtId="164" fontId="2" fillId="0" borderId="0" xfId="0" applyFont="1" applyAlignment="1">
      <alignment/>
    </xf>
    <xf numFmtId="0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4" fontId="2" fillId="0" borderId="0" xfId="44" applyFont="1" applyAlignment="1">
      <alignment/>
    </xf>
    <xf numFmtId="14" fontId="2" fillId="0" borderId="0" xfId="0" applyNumberFormat="1" applyFont="1" applyAlignment="1">
      <alignment/>
    </xf>
    <xf numFmtId="164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44" fontId="2" fillId="0" borderId="0" xfId="44" applyFont="1" applyFill="1" applyAlignment="1">
      <alignment/>
    </xf>
    <xf numFmtId="164" fontId="2" fillId="0" borderId="21" xfId="0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164" fontId="2" fillId="0" borderId="21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44" fontId="2" fillId="0" borderId="21" xfId="44" applyFont="1" applyFill="1" applyBorder="1" applyAlignment="1">
      <alignment vertical="center"/>
    </xf>
    <xf numFmtId="14" fontId="2" fillId="0" borderId="21" xfId="0" applyNumberFormat="1" applyFont="1" applyFill="1" applyBorder="1" applyAlignment="1">
      <alignment horizontal="center" vertical="center" wrapText="1"/>
    </xf>
    <xf numFmtId="44" fontId="2" fillId="0" borderId="21" xfId="44" applyFont="1" applyFill="1" applyBorder="1" applyAlignment="1">
      <alignment horizontal="center" vertical="center" wrapText="1"/>
    </xf>
    <xf numFmtId="44" fontId="2" fillId="0" borderId="0" xfId="44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15" fillId="0" borderId="22" xfId="42" applyNumberFormat="1" applyFont="1" applyFill="1" applyBorder="1" applyAlignment="1">
      <alignment horizontal="center" vertical="center" wrapText="1"/>
    </xf>
    <xf numFmtId="177" fontId="3" fillId="35" borderId="23" xfId="0" applyNumberFormat="1" applyFont="1" applyFill="1" applyBorder="1" applyAlignment="1">
      <alignment horizontal="center" vertical="center" wrapText="1"/>
    </xf>
    <xf numFmtId="177" fontId="3" fillId="35" borderId="24" xfId="0" applyNumberFormat="1" applyFont="1" applyFill="1" applyBorder="1" applyAlignment="1">
      <alignment horizontal="center" vertical="center" wrapText="1"/>
    </xf>
    <xf numFmtId="177" fontId="3" fillId="35" borderId="2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7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199" sqref="I199"/>
    </sheetView>
  </sheetViews>
  <sheetFormatPr defaultColWidth="9.00390625" defaultRowHeight="12.75"/>
  <cols>
    <col min="1" max="1" width="21.50390625" style="166" customWidth="1"/>
    <col min="2" max="2" width="22.25390625" style="167" customWidth="1"/>
    <col min="3" max="3" width="29.125" style="166" customWidth="1"/>
    <col min="4" max="4" width="9.75390625" style="168" customWidth="1"/>
    <col min="5" max="5" width="4.50390625" style="168" customWidth="1"/>
    <col min="6" max="6" width="8.875" style="168" customWidth="1"/>
    <col min="7" max="7" width="8.875" style="168" bestFit="1" customWidth="1"/>
    <col min="8" max="8" width="8.00390625" style="166" customWidth="1"/>
    <col min="9" max="9" width="18.00390625" style="169" customWidth="1"/>
    <col min="10" max="10" width="12.00390625" style="170" customWidth="1"/>
    <col min="11" max="11" width="16.50390625" style="169" customWidth="1"/>
    <col min="12" max="12" width="17.50390625" style="169" customWidth="1"/>
    <col min="13" max="16384" width="8.875" style="166" customWidth="1"/>
  </cols>
  <sheetData>
    <row r="1" spans="13:15" ht="13.5" thickBot="1">
      <c r="M1" s="185" t="s">
        <v>780</v>
      </c>
      <c r="N1" s="186"/>
      <c r="O1" s="187"/>
    </row>
    <row r="2" spans="1:15" ht="27" thickBot="1">
      <c r="A2" s="133" t="s">
        <v>781</v>
      </c>
      <c r="B2" s="133" t="s">
        <v>782</v>
      </c>
      <c r="C2" s="133" t="s">
        <v>469</v>
      </c>
      <c r="D2" s="150" t="s">
        <v>779</v>
      </c>
      <c r="E2" s="150" t="s">
        <v>783</v>
      </c>
      <c r="F2" s="150" t="s">
        <v>470</v>
      </c>
      <c r="G2" s="150" t="s">
        <v>795</v>
      </c>
      <c r="H2" s="133" t="s">
        <v>736</v>
      </c>
      <c r="I2" s="152" t="s">
        <v>784</v>
      </c>
      <c r="J2" s="154" t="s">
        <v>792</v>
      </c>
      <c r="K2" s="155" t="s">
        <v>793</v>
      </c>
      <c r="L2" s="157" t="s">
        <v>785</v>
      </c>
      <c r="M2" s="133" t="s">
        <v>786</v>
      </c>
      <c r="N2" s="133" t="s">
        <v>471</v>
      </c>
      <c r="O2" s="134" t="s">
        <v>787</v>
      </c>
    </row>
    <row r="3" spans="1:15" s="171" customFormat="1" ht="26.25">
      <c r="A3" s="175" t="s">
        <v>88</v>
      </c>
      <c r="B3" s="176" t="s">
        <v>770</v>
      </c>
      <c r="C3" s="177" t="s">
        <v>757</v>
      </c>
      <c r="D3" s="178">
        <v>2024</v>
      </c>
      <c r="E3" s="178">
        <v>4</v>
      </c>
      <c r="F3" s="178" t="s">
        <v>207</v>
      </c>
      <c r="G3" s="178">
        <v>5415</v>
      </c>
      <c r="H3" s="177" t="s">
        <v>475</v>
      </c>
      <c r="I3" s="179">
        <v>700000</v>
      </c>
      <c r="J3" s="180"/>
      <c r="K3" s="181"/>
      <c r="L3" s="181"/>
      <c r="M3" s="177" t="s">
        <v>85</v>
      </c>
      <c r="N3" s="177"/>
      <c r="O3" s="177"/>
    </row>
    <row r="4" spans="1:15" s="171" customFormat="1" ht="39">
      <c r="A4" s="120" t="s">
        <v>123</v>
      </c>
      <c r="B4" s="163" t="s">
        <v>769</v>
      </c>
      <c r="C4" s="120" t="s">
        <v>758</v>
      </c>
      <c r="D4" s="151">
        <v>2024</v>
      </c>
      <c r="E4" s="151">
        <v>4</v>
      </c>
      <c r="F4" s="151" t="s">
        <v>207</v>
      </c>
      <c r="G4" s="151">
        <v>1396</v>
      </c>
      <c r="H4" s="120" t="s">
        <v>475</v>
      </c>
      <c r="I4" s="164">
        <v>533000</v>
      </c>
      <c r="J4" s="124"/>
      <c r="K4" s="153"/>
      <c r="L4" s="153"/>
      <c r="M4" s="120" t="s">
        <v>85</v>
      </c>
      <c r="N4" s="120"/>
      <c r="O4" s="120"/>
    </row>
    <row r="5" spans="1:15" s="171" customFormat="1" ht="52.5">
      <c r="A5" s="120" t="s">
        <v>697</v>
      </c>
      <c r="B5" s="163" t="s">
        <v>777</v>
      </c>
      <c r="C5" s="120" t="s">
        <v>756</v>
      </c>
      <c r="D5" s="151">
        <v>2024</v>
      </c>
      <c r="E5" s="151">
        <v>4</v>
      </c>
      <c r="F5" s="151" t="s">
        <v>207</v>
      </c>
      <c r="G5" s="151">
        <v>189</v>
      </c>
      <c r="H5" s="120" t="s">
        <v>475</v>
      </c>
      <c r="I5" s="164">
        <v>528000</v>
      </c>
      <c r="J5" s="124"/>
      <c r="K5" s="153"/>
      <c r="L5" s="153"/>
      <c r="M5" s="120" t="s">
        <v>85</v>
      </c>
      <c r="N5" s="120"/>
      <c r="O5" s="120"/>
    </row>
    <row r="6" spans="1:15" s="171" customFormat="1" ht="39">
      <c r="A6" s="120" t="s">
        <v>700</v>
      </c>
      <c r="B6" s="163" t="s">
        <v>767</v>
      </c>
      <c r="C6" s="120" t="s">
        <v>760</v>
      </c>
      <c r="D6" s="151">
        <v>2024</v>
      </c>
      <c r="E6" s="151">
        <v>4</v>
      </c>
      <c r="F6" s="151" t="s">
        <v>207</v>
      </c>
      <c r="G6" s="151">
        <v>766</v>
      </c>
      <c r="H6" s="120" t="s">
        <v>475</v>
      </c>
      <c r="I6" s="153">
        <v>508000</v>
      </c>
      <c r="J6" s="124"/>
      <c r="K6" s="153"/>
      <c r="L6" s="153"/>
      <c r="M6" s="120" t="s">
        <v>85</v>
      </c>
      <c r="N6" s="120"/>
      <c r="O6" s="120"/>
    </row>
    <row r="7" spans="1:15" s="171" customFormat="1" ht="26.25">
      <c r="A7" s="120" t="s">
        <v>699</v>
      </c>
      <c r="B7" s="121" t="s">
        <v>776</v>
      </c>
      <c r="C7" s="120" t="s">
        <v>753</v>
      </c>
      <c r="D7" s="151">
        <v>2024</v>
      </c>
      <c r="E7" s="151">
        <v>4</v>
      </c>
      <c r="F7" s="151" t="s">
        <v>207</v>
      </c>
      <c r="G7" s="151">
        <v>1554</v>
      </c>
      <c r="H7" s="120" t="s">
        <v>475</v>
      </c>
      <c r="I7" s="165">
        <v>425000</v>
      </c>
      <c r="J7" s="124"/>
      <c r="K7" s="153"/>
      <c r="L7" s="153"/>
      <c r="M7" s="120" t="s">
        <v>85</v>
      </c>
      <c r="N7" s="120"/>
      <c r="O7" s="120"/>
    </row>
    <row r="8" spans="1:15" s="171" customFormat="1" ht="26.25">
      <c r="A8" s="120" t="s">
        <v>683</v>
      </c>
      <c r="B8" s="163" t="s">
        <v>766</v>
      </c>
      <c r="C8" s="120" t="s">
        <v>761</v>
      </c>
      <c r="D8" s="151">
        <v>2024</v>
      </c>
      <c r="E8" s="151">
        <v>4</v>
      </c>
      <c r="F8" s="151" t="s">
        <v>207</v>
      </c>
      <c r="G8" s="151">
        <v>365</v>
      </c>
      <c r="H8" s="120" t="s">
        <v>475</v>
      </c>
      <c r="I8" s="164">
        <v>296000</v>
      </c>
      <c r="J8" s="124"/>
      <c r="K8" s="153"/>
      <c r="L8" s="153"/>
      <c r="M8" s="120" t="s">
        <v>85</v>
      </c>
      <c r="N8" s="120"/>
      <c r="O8" s="120"/>
    </row>
    <row r="9" spans="1:15" s="171" customFormat="1" ht="26.25">
      <c r="A9" s="120" t="s">
        <v>747</v>
      </c>
      <c r="B9" s="163" t="s">
        <v>768</v>
      </c>
      <c r="C9" s="120" t="s">
        <v>759</v>
      </c>
      <c r="D9" s="151">
        <v>2024</v>
      </c>
      <c r="E9" s="151">
        <v>4</v>
      </c>
      <c r="F9" s="151" t="s">
        <v>207</v>
      </c>
      <c r="G9" s="151">
        <v>140</v>
      </c>
      <c r="H9" s="120" t="s">
        <v>475</v>
      </c>
      <c r="I9" s="164">
        <v>284000</v>
      </c>
      <c r="J9" s="124"/>
      <c r="K9" s="153"/>
      <c r="L9" s="153"/>
      <c r="M9" s="120" t="s">
        <v>85</v>
      </c>
      <c r="N9" s="120"/>
      <c r="O9" s="120"/>
    </row>
    <row r="10" spans="1:15" s="171" customFormat="1" ht="12.75">
      <c r="A10" s="120" t="s">
        <v>748</v>
      </c>
      <c r="B10" s="163" t="s">
        <v>771</v>
      </c>
      <c r="C10" s="120" t="s">
        <v>755</v>
      </c>
      <c r="D10" s="151">
        <v>2024</v>
      </c>
      <c r="E10" s="151">
        <v>4</v>
      </c>
      <c r="F10" s="151" t="s">
        <v>207</v>
      </c>
      <c r="G10" s="151">
        <v>472</v>
      </c>
      <c r="H10" s="120" t="s">
        <v>475</v>
      </c>
      <c r="I10" s="164">
        <v>273000</v>
      </c>
      <c r="J10" s="124"/>
      <c r="K10" s="153"/>
      <c r="L10" s="153"/>
      <c r="M10" s="120" t="s">
        <v>85</v>
      </c>
      <c r="N10" s="120"/>
      <c r="O10" s="120"/>
    </row>
    <row r="11" spans="1:15" s="171" customFormat="1" ht="26.25">
      <c r="A11" s="162" t="s">
        <v>746</v>
      </c>
      <c r="B11" s="121" t="s">
        <v>772</v>
      </c>
      <c r="C11" s="120" t="s">
        <v>754</v>
      </c>
      <c r="D11" s="151">
        <v>2024</v>
      </c>
      <c r="E11" s="151">
        <v>4</v>
      </c>
      <c r="F11" s="151" t="s">
        <v>207</v>
      </c>
      <c r="G11" s="151">
        <v>144</v>
      </c>
      <c r="H11" s="120" t="s">
        <v>475</v>
      </c>
      <c r="I11" s="153">
        <v>250000</v>
      </c>
      <c r="J11" s="124"/>
      <c r="K11" s="153"/>
      <c r="L11" s="153"/>
      <c r="M11" s="120" t="s">
        <v>85</v>
      </c>
      <c r="N11" s="120"/>
      <c r="O11" s="120"/>
    </row>
    <row r="12" spans="1:15" s="171" customFormat="1" ht="39">
      <c r="A12" s="162" t="s">
        <v>749</v>
      </c>
      <c r="B12" s="121" t="s">
        <v>773</v>
      </c>
      <c r="C12" s="120" t="s">
        <v>750</v>
      </c>
      <c r="D12" s="151">
        <v>2024</v>
      </c>
      <c r="E12" s="151">
        <v>4</v>
      </c>
      <c r="F12" s="151" t="s">
        <v>207</v>
      </c>
      <c r="G12" s="151">
        <v>838</v>
      </c>
      <c r="H12" s="120" t="s">
        <v>475</v>
      </c>
      <c r="I12" s="165">
        <v>239638</v>
      </c>
      <c r="J12" s="124"/>
      <c r="K12" s="153"/>
      <c r="L12" s="153"/>
      <c r="M12" s="120" t="s">
        <v>85</v>
      </c>
      <c r="N12" s="120"/>
      <c r="O12" s="120"/>
    </row>
    <row r="13" spans="1:15" s="171" customFormat="1" ht="26.25">
      <c r="A13" s="120" t="s">
        <v>212</v>
      </c>
      <c r="B13" s="163" t="s">
        <v>765</v>
      </c>
      <c r="C13" s="120" t="s">
        <v>762</v>
      </c>
      <c r="D13" s="151">
        <v>2024</v>
      </c>
      <c r="E13" s="151">
        <v>4</v>
      </c>
      <c r="F13" s="151" t="s">
        <v>207</v>
      </c>
      <c r="G13" s="151">
        <v>12460</v>
      </c>
      <c r="H13" s="120" t="s">
        <v>475</v>
      </c>
      <c r="I13" s="164">
        <v>200000</v>
      </c>
      <c r="J13" s="124"/>
      <c r="K13" s="153"/>
      <c r="L13" s="153"/>
      <c r="M13" s="120" t="s">
        <v>85</v>
      </c>
      <c r="N13" s="120"/>
      <c r="O13" s="120"/>
    </row>
    <row r="14" spans="1:15" s="171" customFormat="1" ht="12.75">
      <c r="A14" s="120" t="s">
        <v>698</v>
      </c>
      <c r="B14" s="121" t="s">
        <v>775</v>
      </c>
      <c r="C14" s="120" t="s">
        <v>752</v>
      </c>
      <c r="D14" s="151">
        <v>2024</v>
      </c>
      <c r="E14" s="151">
        <v>4</v>
      </c>
      <c r="F14" s="151" t="s">
        <v>207</v>
      </c>
      <c r="G14" s="151">
        <v>432</v>
      </c>
      <c r="H14" s="120" t="s">
        <v>475</v>
      </c>
      <c r="I14" s="165">
        <v>200000</v>
      </c>
      <c r="J14" s="124"/>
      <c r="K14" s="153"/>
      <c r="L14" s="153"/>
      <c r="M14" s="120" t="s">
        <v>85</v>
      </c>
      <c r="N14" s="120"/>
      <c r="O14" s="120"/>
    </row>
    <row r="15" spans="1:15" s="171" customFormat="1" ht="12.75">
      <c r="A15" s="120" t="s">
        <v>444</v>
      </c>
      <c r="B15" s="121" t="s">
        <v>774</v>
      </c>
      <c r="C15" s="162" t="s">
        <v>751</v>
      </c>
      <c r="D15" s="151">
        <v>2024</v>
      </c>
      <c r="E15" s="151">
        <v>4</v>
      </c>
      <c r="F15" s="151" t="s">
        <v>207</v>
      </c>
      <c r="G15" s="151">
        <v>222</v>
      </c>
      <c r="H15" s="120" t="s">
        <v>475</v>
      </c>
      <c r="I15" s="165">
        <v>22076</v>
      </c>
      <c r="J15" s="124"/>
      <c r="K15" s="153"/>
      <c r="L15" s="153"/>
      <c r="M15" s="120" t="s">
        <v>85</v>
      </c>
      <c r="N15" s="120"/>
      <c r="O15" s="120"/>
    </row>
    <row r="16" spans="1:15" s="171" customFormat="1" ht="12.75">
      <c r="A16" s="120" t="s">
        <v>700</v>
      </c>
      <c r="B16" s="121" t="s">
        <v>708</v>
      </c>
      <c r="C16" s="120" t="s">
        <v>503</v>
      </c>
      <c r="D16" s="151">
        <v>2024</v>
      </c>
      <c r="E16" s="151">
        <v>4</v>
      </c>
      <c r="F16" s="151">
        <v>55</v>
      </c>
      <c r="G16" s="151">
        <v>766</v>
      </c>
      <c r="H16" s="120" t="s">
        <v>475</v>
      </c>
      <c r="I16" s="153">
        <v>5210000</v>
      </c>
      <c r="J16" s="124"/>
      <c r="K16" s="153"/>
      <c r="L16" s="153"/>
      <c r="M16" s="120" t="s">
        <v>85</v>
      </c>
      <c r="N16" s="120"/>
      <c r="O16" s="120"/>
    </row>
    <row r="17" spans="1:15" s="171" customFormat="1" ht="26.25">
      <c r="A17" s="120" t="s">
        <v>697</v>
      </c>
      <c r="B17" s="121" t="s">
        <v>703</v>
      </c>
      <c r="C17" s="120" t="s">
        <v>713</v>
      </c>
      <c r="D17" s="151">
        <v>2024</v>
      </c>
      <c r="E17" s="151">
        <v>4</v>
      </c>
      <c r="F17" s="151">
        <v>55</v>
      </c>
      <c r="G17" s="151">
        <v>189</v>
      </c>
      <c r="H17" s="120" t="s">
        <v>475</v>
      </c>
      <c r="I17" s="153">
        <v>3960000</v>
      </c>
      <c r="J17" s="124"/>
      <c r="K17" s="153"/>
      <c r="L17" s="153"/>
      <c r="M17" s="120" t="s">
        <v>85</v>
      </c>
      <c r="N17" s="120"/>
      <c r="O17" s="120"/>
    </row>
    <row r="18" spans="1:15" s="171" customFormat="1" ht="12.75">
      <c r="A18" s="120" t="s">
        <v>698</v>
      </c>
      <c r="B18" s="121" t="s">
        <v>704</v>
      </c>
      <c r="C18" s="120" t="s">
        <v>714</v>
      </c>
      <c r="D18" s="151">
        <v>2024</v>
      </c>
      <c r="E18" s="151">
        <v>4</v>
      </c>
      <c r="F18" s="151">
        <v>55</v>
      </c>
      <c r="G18" s="151">
        <v>500</v>
      </c>
      <c r="H18" s="120" t="s">
        <v>475</v>
      </c>
      <c r="I18" s="153">
        <v>700000</v>
      </c>
      <c r="J18" s="124"/>
      <c r="K18" s="153"/>
      <c r="L18" s="153"/>
      <c r="M18" s="120" t="s">
        <v>85</v>
      </c>
      <c r="N18" s="120"/>
      <c r="O18" s="120"/>
    </row>
    <row r="19" spans="1:15" s="171" customFormat="1" ht="26.25">
      <c r="A19" s="120" t="s">
        <v>699</v>
      </c>
      <c r="B19" s="121" t="s">
        <v>705</v>
      </c>
      <c r="C19" s="120" t="s">
        <v>715</v>
      </c>
      <c r="D19" s="151">
        <v>2024</v>
      </c>
      <c r="E19" s="151">
        <v>4</v>
      </c>
      <c r="F19" s="151">
        <v>45</v>
      </c>
      <c r="G19" s="151">
        <v>1590</v>
      </c>
      <c r="H19" s="120" t="s">
        <v>475</v>
      </c>
      <c r="I19" s="153">
        <v>3388000</v>
      </c>
      <c r="J19" s="124"/>
      <c r="K19" s="153"/>
      <c r="L19" s="153"/>
      <c r="M19" s="120" t="s">
        <v>85</v>
      </c>
      <c r="N19" s="120"/>
      <c r="O19" s="120"/>
    </row>
    <row r="20" spans="1:15" s="171" customFormat="1" ht="12.75">
      <c r="A20" s="120" t="s">
        <v>223</v>
      </c>
      <c r="B20" s="121" t="s">
        <v>706</v>
      </c>
      <c r="C20" s="120" t="s">
        <v>716</v>
      </c>
      <c r="D20" s="151">
        <v>2024</v>
      </c>
      <c r="E20" s="151">
        <v>4</v>
      </c>
      <c r="F20" s="151">
        <v>45</v>
      </c>
      <c r="G20" s="151">
        <v>1711</v>
      </c>
      <c r="H20" s="120" t="s">
        <v>475</v>
      </c>
      <c r="I20" s="153">
        <v>2531000</v>
      </c>
      <c r="J20" s="124"/>
      <c r="K20" s="153"/>
      <c r="L20" s="153"/>
      <c r="M20" s="120" t="s">
        <v>85</v>
      </c>
      <c r="N20" s="120"/>
      <c r="O20" s="120"/>
    </row>
    <row r="21" spans="1:15" s="171" customFormat="1" ht="26.25">
      <c r="A21" s="120" t="s">
        <v>763</v>
      </c>
      <c r="B21" s="121" t="s">
        <v>702</v>
      </c>
      <c r="C21" s="120" t="s">
        <v>631</v>
      </c>
      <c r="D21" s="151">
        <v>2024</v>
      </c>
      <c r="E21" s="151">
        <v>4</v>
      </c>
      <c r="F21" s="151">
        <v>40</v>
      </c>
      <c r="G21" s="151">
        <v>7536</v>
      </c>
      <c r="H21" s="120" t="s">
        <v>538</v>
      </c>
      <c r="I21" s="153">
        <v>6000000</v>
      </c>
      <c r="J21" s="124"/>
      <c r="K21" s="153"/>
      <c r="L21" s="153"/>
      <c r="M21" s="120" t="s">
        <v>85</v>
      </c>
      <c r="N21" s="120"/>
      <c r="O21" s="120" t="s">
        <v>85</v>
      </c>
    </row>
    <row r="22" spans="1:15" s="171" customFormat="1" ht="12.75">
      <c r="A22" s="120" t="s">
        <v>311</v>
      </c>
      <c r="B22" s="121" t="s">
        <v>710</v>
      </c>
      <c r="C22" s="120" t="s">
        <v>719</v>
      </c>
      <c r="D22" s="151">
        <v>2024</v>
      </c>
      <c r="E22" s="151">
        <v>4</v>
      </c>
      <c r="F22" s="151">
        <v>35</v>
      </c>
      <c r="G22" s="151">
        <v>21630</v>
      </c>
      <c r="H22" s="120" t="s">
        <v>475</v>
      </c>
      <c r="I22" s="153">
        <v>3050000</v>
      </c>
      <c r="J22" s="124"/>
      <c r="K22" s="153"/>
      <c r="L22" s="153"/>
      <c r="M22" s="120" t="s">
        <v>85</v>
      </c>
      <c r="N22" s="120"/>
      <c r="O22" s="120"/>
    </row>
    <row r="23" spans="1:15" s="171" customFormat="1" ht="12.75">
      <c r="A23" s="120" t="s">
        <v>701</v>
      </c>
      <c r="B23" s="121" t="s">
        <v>709</v>
      </c>
      <c r="C23" s="120" t="s">
        <v>718</v>
      </c>
      <c r="D23" s="151">
        <v>2024</v>
      </c>
      <c r="E23" s="151">
        <v>4</v>
      </c>
      <c r="F23" s="151">
        <v>35</v>
      </c>
      <c r="G23" s="151">
        <v>2700</v>
      </c>
      <c r="H23" s="120" t="s">
        <v>475</v>
      </c>
      <c r="I23" s="153">
        <v>263000</v>
      </c>
      <c r="J23" s="124"/>
      <c r="K23" s="153"/>
      <c r="L23" s="153"/>
      <c r="M23" s="120" t="s">
        <v>85</v>
      </c>
      <c r="N23" s="120"/>
      <c r="O23" s="120"/>
    </row>
    <row r="24" spans="1:15" s="171" customFormat="1" ht="26.25">
      <c r="A24" s="120" t="s">
        <v>37</v>
      </c>
      <c r="B24" s="121" t="s">
        <v>711</v>
      </c>
      <c r="C24" s="120" t="s">
        <v>720</v>
      </c>
      <c r="D24" s="151">
        <v>2024</v>
      </c>
      <c r="E24" s="151">
        <v>4</v>
      </c>
      <c r="F24" s="151">
        <v>30</v>
      </c>
      <c r="G24" s="151">
        <v>1700</v>
      </c>
      <c r="H24" s="120" t="s">
        <v>475</v>
      </c>
      <c r="I24" s="153">
        <v>924000</v>
      </c>
      <c r="J24" s="124"/>
      <c r="K24" s="153"/>
      <c r="L24" s="153"/>
      <c r="M24" s="120" t="s">
        <v>85</v>
      </c>
      <c r="N24" s="120"/>
      <c r="O24" s="120"/>
    </row>
    <row r="25" spans="1:15" s="171" customFormat="1" ht="26.25">
      <c r="A25" s="120" t="s">
        <v>547</v>
      </c>
      <c r="B25" s="121" t="s">
        <v>707</v>
      </c>
      <c r="C25" s="120" t="s">
        <v>717</v>
      </c>
      <c r="D25" s="151">
        <v>2024</v>
      </c>
      <c r="E25" s="151">
        <v>4</v>
      </c>
      <c r="F25" s="151">
        <v>25</v>
      </c>
      <c r="G25" s="151">
        <v>63000</v>
      </c>
      <c r="H25" s="120" t="s">
        <v>475</v>
      </c>
      <c r="I25" s="153">
        <v>22494000</v>
      </c>
      <c r="J25" s="124"/>
      <c r="K25" s="153"/>
      <c r="L25" s="153"/>
      <c r="M25" s="120" t="s">
        <v>85</v>
      </c>
      <c r="N25" s="120"/>
      <c r="O25" s="120"/>
    </row>
    <row r="26" spans="1:15" s="171" customFormat="1" ht="27">
      <c r="A26" s="120" t="s">
        <v>764</v>
      </c>
      <c r="B26" s="121" t="s">
        <v>712</v>
      </c>
      <c r="C26" s="135" t="s">
        <v>584</v>
      </c>
      <c r="D26" s="151">
        <v>2024</v>
      </c>
      <c r="E26" s="151">
        <v>4</v>
      </c>
      <c r="F26" s="159">
        <v>20</v>
      </c>
      <c r="G26" s="151">
        <v>23474</v>
      </c>
      <c r="H26" s="120" t="s">
        <v>538</v>
      </c>
      <c r="I26" s="153">
        <v>1570000</v>
      </c>
      <c r="J26" s="124"/>
      <c r="K26" s="153"/>
      <c r="L26" s="153"/>
      <c r="M26" s="120" t="s">
        <v>85</v>
      </c>
      <c r="N26" s="120"/>
      <c r="O26" s="120" t="s">
        <v>85</v>
      </c>
    </row>
    <row r="27" spans="1:15" s="171" customFormat="1" ht="26.25">
      <c r="A27" s="120" t="s">
        <v>472</v>
      </c>
      <c r="B27" s="121" t="s">
        <v>473</v>
      </c>
      <c r="C27" s="120" t="s">
        <v>474</v>
      </c>
      <c r="D27" s="151">
        <v>2024</v>
      </c>
      <c r="E27" s="151">
        <v>3</v>
      </c>
      <c r="F27" s="151" t="s">
        <v>207</v>
      </c>
      <c r="G27" s="151">
        <v>2160</v>
      </c>
      <c r="H27" s="120" t="s">
        <v>506</v>
      </c>
      <c r="I27" s="153">
        <v>1400000</v>
      </c>
      <c r="J27" s="124">
        <v>45317</v>
      </c>
      <c r="K27" s="153">
        <v>1400000</v>
      </c>
      <c r="L27" s="153">
        <v>0</v>
      </c>
      <c r="M27" s="120" t="s">
        <v>85</v>
      </c>
      <c r="N27" s="126"/>
      <c r="O27" s="126"/>
    </row>
    <row r="28" spans="1:15" s="171" customFormat="1" ht="26.25">
      <c r="A28" s="120" t="s">
        <v>402</v>
      </c>
      <c r="B28" s="121" t="s">
        <v>492</v>
      </c>
      <c r="C28" s="120" t="s">
        <v>493</v>
      </c>
      <c r="D28" s="151">
        <v>2024</v>
      </c>
      <c r="E28" s="151">
        <v>3</v>
      </c>
      <c r="F28" s="151" t="s">
        <v>207</v>
      </c>
      <c r="G28" s="151">
        <v>24195</v>
      </c>
      <c r="H28" s="120" t="s">
        <v>475</v>
      </c>
      <c r="I28" s="153">
        <v>1160000</v>
      </c>
      <c r="J28" s="124">
        <v>45240</v>
      </c>
      <c r="K28" s="153">
        <v>1160000</v>
      </c>
      <c r="L28" s="153">
        <v>0</v>
      </c>
      <c r="M28" s="120" t="s">
        <v>85</v>
      </c>
      <c r="N28" s="126"/>
      <c r="O28" s="126"/>
    </row>
    <row r="29" spans="1:15" s="171" customFormat="1" ht="13.5">
      <c r="A29" s="120" t="s">
        <v>399</v>
      </c>
      <c r="B29" s="121" t="s">
        <v>482</v>
      </c>
      <c r="C29" s="120" t="s">
        <v>483</v>
      </c>
      <c r="D29" s="151">
        <v>2024</v>
      </c>
      <c r="E29" s="151">
        <v>3</v>
      </c>
      <c r="F29" s="151" t="s">
        <v>207</v>
      </c>
      <c r="G29" s="136">
        <v>946</v>
      </c>
      <c r="H29" s="120" t="s">
        <v>506</v>
      </c>
      <c r="I29" s="153">
        <v>680000</v>
      </c>
      <c r="J29" s="124">
        <v>45296</v>
      </c>
      <c r="K29" s="153">
        <v>680000</v>
      </c>
      <c r="L29" s="153">
        <v>0</v>
      </c>
      <c r="M29" s="120" t="s">
        <v>85</v>
      </c>
      <c r="N29" s="126"/>
      <c r="O29" s="126"/>
    </row>
    <row r="30" spans="1:15" s="171" customFormat="1" ht="26.25">
      <c r="A30" s="120" t="s">
        <v>338</v>
      </c>
      <c r="B30" s="121" t="s">
        <v>480</v>
      </c>
      <c r="C30" s="120" t="s">
        <v>481</v>
      </c>
      <c r="D30" s="151">
        <v>2024</v>
      </c>
      <c r="E30" s="151">
        <v>3</v>
      </c>
      <c r="F30" s="151" t="s">
        <v>207</v>
      </c>
      <c r="G30" s="136">
        <v>740</v>
      </c>
      <c r="H30" s="120" t="s">
        <v>506</v>
      </c>
      <c r="I30" s="153">
        <v>307000</v>
      </c>
      <c r="J30" s="124">
        <v>45296</v>
      </c>
      <c r="K30" s="153">
        <v>307000</v>
      </c>
      <c r="L30" s="153">
        <v>0</v>
      </c>
      <c r="M30" s="120" t="s">
        <v>85</v>
      </c>
      <c r="N30" s="126"/>
      <c r="O30" s="126"/>
    </row>
    <row r="31" spans="1:15" s="171" customFormat="1" ht="26.25">
      <c r="A31" s="120" t="s">
        <v>340</v>
      </c>
      <c r="B31" s="121" t="s">
        <v>490</v>
      </c>
      <c r="C31" s="120" t="s">
        <v>491</v>
      </c>
      <c r="D31" s="151">
        <v>2024</v>
      </c>
      <c r="E31" s="151">
        <v>3</v>
      </c>
      <c r="F31" s="151" t="s">
        <v>207</v>
      </c>
      <c r="G31" s="151">
        <v>14945</v>
      </c>
      <c r="H31" s="120" t="s">
        <v>475</v>
      </c>
      <c r="I31" s="153">
        <v>230000</v>
      </c>
      <c r="J31" s="124"/>
      <c r="K31" s="153"/>
      <c r="L31" s="153"/>
      <c r="M31" s="120" t="s">
        <v>85</v>
      </c>
      <c r="N31" s="126"/>
      <c r="O31" s="126"/>
    </row>
    <row r="32" spans="1:15" s="171" customFormat="1" ht="39">
      <c r="A32" s="120" t="s">
        <v>468</v>
      </c>
      <c r="B32" s="121" t="s">
        <v>476</v>
      </c>
      <c r="C32" s="120" t="s">
        <v>477</v>
      </c>
      <c r="D32" s="151">
        <v>2024</v>
      </c>
      <c r="E32" s="151">
        <v>3</v>
      </c>
      <c r="F32" s="151" t="s">
        <v>207</v>
      </c>
      <c r="G32" s="136">
        <v>456</v>
      </c>
      <c r="H32" s="120" t="s">
        <v>506</v>
      </c>
      <c r="I32" s="153">
        <v>172500</v>
      </c>
      <c r="J32" s="124">
        <v>45282</v>
      </c>
      <c r="K32" s="153">
        <v>172000</v>
      </c>
      <c r="L32" s="153">
        <v>0</v>
      </c>
      <c r="M32" s="120" t="s">
        <v>85</v>
      </c>
      <c r="N32" s="126"/>
      <c r="O32" s="126"/>
    </row>
    <row r="33" spans="1:15" s="171" customFormat="1" ht="13.5">
      <c r="A33" s="120" t="s">
        <v>90</v>
      </c>
      <c r="B33" s="121" t="s">
        <v>488</v>
      </c>
      <c r="C33" s="120" t="s">
        <v>489</v>
      </c>
      <c r="D33" s="151">
        <v>2024</v>
      </c>
      <c r="E33" s="151">
        <v>3</v>
      </c>
      <c r="F33" s="151" t="s">
        <v>207</v>
      </c>
      <c r="G33" s="136">
        <v>5282</v>
      </c>
      <c r="H33" s="120" t="s">
        <v>506</v>
      </c>
      <c r="I33" s="153">
        <v>143774</v>
      </c>
      <c r="J33" s="124">
        <v>45296</v>
      </c>
      <c r="K33" s="153">
        <v>143774</v>
      </c>
      <c r="L33" s="153">
        <v>0</v>
      </c>
      <c r="M33" s="120" t="s">
        <v>85</v>
      </c>
      <c r="N33" s="126"/>
      <c r="O33" s="126"/>
    </row>
    <row r="34" spans="1:15" s="171" customFormat="1" ht="12.75">
      <c r="A34" s="120" t="s">
        <v>29</v>
      </c>
      <c r="B34" s="121" t="s">
        <v>478</v>
      </c>
      <c r="C34" s="120" t="s">
        <v>479</v>
      </c>
      <c r="D34" s="151">
        <v>2024</v>
      </c>
      <c r="E34" s="151">
        <v>3</v>
      </c>
      <c r="F34" s="151" t="s">
        <v>207</v>
      </c>
      <c r="G34" s="151">
        <v>320</v>
      </c>
      <c r="H34" s="120" t="s">
        <v>475</v>
      </c>
      <c r="I34" s="153">
        <v>142200</v>
      </c>
      <c r="J34" s="124"/>
      <c r="K34" s="153"/>
      <c r="L34" s="153"/>
      <c r="M34" s="120" t="s">
        <v>85</v>
      </c>
      <c r="N34" s="126"/>
      <c r="O34" s="126"/>
    </row>
    <row r="35" spans="1:15" s="171" customFormat="1" ht="26.25">
      <c r="A35" s="120" t="s">
        <v>126</v>
      </c>
      <c r="B35" s="121" t="s">
        <v>486</v>
      </c>
      <c r="C35" s="120" t="s">
        <v>487</v>
      </c>
      <c r="D35" s="151">
        <v>2024</v>
      </c>
      <c r="E35" s="151">
        <v>3</v>
      </c>
      <c r="F35" s="151" t="s">
        <v>207</v>
      </c>
      <c r="G35" s="151">
        <v>25206</v>
      </c>
      <c r="H35" s="120" t="s">
        <v>475</v>
      </c>
      <c r="I35" s="153">
        <v>92000</v>
      </c>
      <c r="J35" s="124"/>
      <c r="K35" s="153"/>
      <c r="L35" s="153"/>
      <c r="M35" s="120" t="s">
        <v>85</v>
      </c>
      <c r="N35" s="126"/>
      <c r="O35" s="126"/>
    </row>
    <row r="36" spans="1:15" s="171" customFormat="1" ht="26.25">
      <c r="A36" s="120" t="s">
        <v>366</v>
      </c>
      <c r="B36" s="121" t="s">
        <v>484</v>
      </c>
      <c r="C36" s="120" t="s">
        <v>485</v>
      </c>
      <c r="D36" s="151">
        <v>2024</v>
      </c>
      <c r="E36" s="151">
        <v>3</v>
      </c>
      <c r="F36" s="151" t="s">
        <v>207</v>
      </c>
      <c r="G36" s="151">
        <v>267</v>
      </c>
      <c r="H36" s="120" t="s">
        <v>475</v>
      </c>
      <c r="I36" s="153">
        <v>70000</v>
      </c>
      <c r="J36" s="124"/>
      <c r="K36" s="153"/>
      <c r="L36" s="153"/>
      <c r="M36" s="120" t="s">
        <v>85</v>
      </c>
      <c r="N36" s="126"/>
      <c r="O36" s="126"/>
    </row>
    <row r="37" spans="1:15" s="171" customFormat="1" ht="12.75">
      <c r="A37" s="120" t="s">
        <v>455</v>
      </c>
      <c r="B37" s="121" t="s">
        <v>456</v>
      </c>
      <c r="C37" s="120" t="s">
        <v>494</v>
      </c>
      <c r="D37" s="151">
        <v>2024</v>
      </c>
      <c r="E37" s="151">
        <v>3</v>
      </c>
      <c r="F37" s="151">
        <v>55</v>
      </c>
      <c r="G37" s="151">
        <v>237</v>
      </c>
      <c r="H37" s="120" t="s">
        <v>475</v>
      </c>
      <c r="I37" s="153">
        <v>1573000</v>
      </c>
      <c r="J37" s="128"/>
      <c r="K37" s="156"/>
      <c r="L37" s="153"/>
      <c r="M37" s="120" t="s">
        <v>85</v>
      </c>
      <c r="N37" s="127"/>
      <c r="O37" s="127"/>
    </row>
    <row r="38" spans="1:15" s="171" customFormat="1" ht="26.25">
      <c r="A38" s="120" t="s">
        <v>472</v>
      </c>
      <c r="B38" s="121" t="s">
        <v>462</v>
      </c>
      <c r="C38" s="120" t="s">
        <v>499</v>
      </c>
      <c r="D38" s="151">
        <v>2024</v>
      </c>
      <c r="E38" s="151">
        <v>3</v>
      </c>
      <c r="F38" s="151">
        <v>45</v>
      </c>
      <c r="G38" s="151">
        <v>2062</v>
      </c>
      <c r="H38" s="120" t="s">
        <v>475</v>
      </c>
      <c r="I38" s="153">
        <v>20000000</v>
      </c>
      <c r="J38" s="128"/>
      <c r="K38" s="156"/>
      <c r="L38" s="153"/>
      <c r="M38" s="120" t="s">
        <v>85</v>
      </c>
      <c r="N38" s="127"/>
      <c r="O38" s="127"/>
    </row>
    <row r="39" spans="1:15" s="171" customFormat="1" ht="12.75">
      <c r="A39" s="120" t="s">
        <v>340</v>
      </c>
      <c r="B39" s="121" t="s">
        <v>459</v>
      </c>
      <c r="C39" s="120" t="s">
        <v>496</v>
      </c>
      <c r="D39" s="151">
        <v>2024</v>
      </c>
      <c r="E39" s="151">
        <v>3</v>
      </c>
      <c r="F39" s="151">
        <v>45</v>
      </c>
      <c r="G39" s="151">
        <v>8480</v>
      </c>
      <c r="H39" s="120" t="s">
        <v>475</v>
      </c>
      <c r="I39" s="153">
        <v>5701000</v>
      </c>
      <c r="J39" s="128"/>
      <c r="K39" s="156"/>
      <c r="L39" s="153"/>
      <c r="M39" s="120" t="s">
        <v>85</v>
      </c>
      <c r="N39" s="127"/>
      <c r="O39" s="127"/>
    </row>
    <row r="40" spans="1:15" s="171" customFormat="1" ht="12.75">
      <c r="A40" s="120" t="s">
        <v>684</v>
      </c>
      <c r="B40" s="121" t="s">
        <v>461</v>
      </c>
      <c r="C40" s="120" t="s">
        <v>498</v>
      </c>
      <c r="D40" s="151">
        <v>2024</v>
      </c>
      <c r="E40" s="151">
        <v>3</v>
      </c>
      <c r="F40" s="151">
        <v>40</v>
      </c>
      <c r="G40" s="151">
        <v>9900</v>
      </c>
      <c r="H40" s="120" t="s">
        <v>475</v>
      </c>
      <c r="I40" s="153">
        <v>10497000</v>
      </c>
      <c r="J40" s="128"/>
      <c r="K40" s="156"/>
      <c r="L40" s="153"/>
      <c r="M40" s="120" t="s">
        <v>85</v>
      </c>
      <c r="N40" s="127"/>
      <c r="O40" s="127"/>
    </row>
    <row r="41" spans="1:15" s="171" customFormat="1" ht="26.25">
      <c r="A41" s="120" t="s">
        <v>162</v>
      </c>
      <c r="B41" s="121" t="s">
        <v>466</v>
      </c>
      <c r="C41" s="120" t="s">
        <v>502</v>
      </c>
      <c r="D41" s="151">
        <v>2024</v>
      </c>
      <c r="E41" s="151">
        <v>3</v>
      </c>
      <c r="F41" s="151">
        <v>40</v>
      </c>
      <c r="G41" s="151">
        <v>968</v>
      </c>
      <c r="H41" s="120" t="s">
        <v>475</v>
      </c>
      <c r="I41" s="153">
        <v>660000</v>
      </c>
      <c r="J41" s="128"/>
      <c r="K41" s="156"/>
      <c r="L41" s="153"/>
      <c r="M41" s="120" t="s">
        <v>85</v>
      </c>
      <c r="N41" s="127"/>
      <c r="O41" s="127"/>
    </row>
    <row r="42" spans="1:15" s="171" customFormat="1" ht="26.25">
      <c r="A42" s="120" t="s">
        <v>457</v>
      </c>
      <c r="B42" s="121" t="s">
        <v>458</v>
      </c>
      <c r="C42" s="120" t="s">
        <v>495</v>
      </c>
      <c r="D42" s="151">
        <v>2024</v>
      </c>
      <c r="E42" s="151">
        <v>3</v>
      </c>
      <c r="F42" s="151">
        <v>40</v>
      </c>
      <c r="G42" s="151">
        <v>271</v>
      </c>
      <c r="H42" s="120" t="s">
        <v>475</v>
      </c>
      <c r="I42" s="153">
        <v>604000</v>
      </c>
      <c r="J42" s="128"/>
      <c r="K42" s="156"/>
      <c r="L42" s="153"/>
      <c r="M42" s="120" t="s">
        <v>85</v>
      </c>
      <c r="N42" s="127"/>
      <c r="O42" s="127"/>
    </row>
    <row r="43" spans="1:15" s="171" customFormat="1" ht="12.75">
      <c r="A43" s="120" t="s">
        <v>689</v>
      </c>
      <c r="B43" s="121" t="s">
        <v>460</v>
      </c>
      <c r="C43" s="120" t="s">
        <v>497</v>
      </c>
      <c r="D43" s="151">
        <v>2024</v>
      </c>
      <c r="E43" s="151">
        <v>3</v>
      </c>
      <c r="F43" s="151">
        <v>40</v>
      </c>
      <c r="G43" s="151">
        <v>921</v>
      </c>
      <c r="H43" s="120" t="s">
        <v>475</v>
      </c>
      <c r="I43" s="153">
        <v>528000</v>
      </c>
      <c r="J43" s="128"/>
      <c r="K43" s="156"/>
      <c r="L43" s="153"/>
      <c r="M43" s="120" t="s">
        <v>85</v>
      </c>
      <c r="N43" s="127"/>
      <c r="O43" s="127"/>
    </row>
    <row r="44" spans="1:15" s="171" customFormat="1" ht="12.75">
      <c r="A44" s="120" t="s">
        <v>35</v>
      </c>
      <c r="B44" s="121" t="s">
        <v>465</v>
      </c>
      <c r="C44" s="120" t="s">
        <v>501</v>
      </c>
      <c r="D44" s="151">
        <v>2024</v>
      </c>
      <c r="E44" s="151">
        <v>3</v>
      </c>
      <c r="F44" s="151">
        <v>35</v>
      </c>
      <c r="G44" s="151">
        <v>12799</v>
      </c>
      <c r="H44" s="120" t="s">
        <v>475</v>
      </c>
      <c r="I44" s="153">
        <v>6380000</v>
      </c>
      <c r="J44" s="128"/>
      <c r="K44" s="156"/>
      <c r="L44" s="153"/>
      <c r="M44" s="120" t="s">
        <v>85</v>
      </c>
      <c r="N44" s="127"/>
      <c r="O44" s="127"/>
    </row>
    <row r="45" spans="1:15" s="171" customFormat="1" ht="26.25">
      <c r="A45" s="120" t="s">
        <v>463</v>
      </c>
      <c r="B45" s="121" t="s">
        <v>464</v>
      </c>
      <c r="C45" s="120" t="s">
        <v>500</v>
      </c>
      <c r="D45" s="151">
        <v>2024</v>
      </c>
      <c r="E45" s="151">
        <v>3</v>
      </c>
      <c r="F45" s="151">
        <v>30</v>
      </c>
      <c r="G45" s="151">
        <v>9564</v>
      </c>
      <c r="H45" s="120" t="s">
        <v>538</v>
      </c>
      <c r="I45" s="153">
        <v>1002000</v>
      </c>
      <c r="J45" s="128"/>
      <c r="K45" s="156"/>
      <c r="L45" s="153"/>
      <c r="M45" s="120" t="s">
        <v>85</v>
      </c>
      <c r="N45" s="127"/>
      <c r="O45" s="126" t="s">
        <v>85</v>
      </c>
    </row>
    <row r="46" spans="1:15" s="171" customFormat="1" ht="12.75">
      <c r="A46" s="120" t="s">
        <v>123</v>
      </c>
      <c r="B46" s="121" t="s">
        <v>467</v>
      </c>
      <c r="C46" s="120" t="s">
        <v>503</v>
      </c>
      <c r="D46" s="151">
        <v>2024</v>
      </c>
      <c r="E46" s="151">
        <v>3</v>
      </c>
      <c r="F46" s="151">
        <v>25</v>
      </c>
      <c r="G46" s="151">
        <v>1396</v>
      </c>
      <c r="H46" s="120" t="s">
        <v>475</v>
      </c>
      <c r="I46" s="153">
        <v>7136000</v>
      </c>
      <c r="J46" s="128"/>
      <c r="K46" s="156"/>
      <c r="L46" s="153"/>
      <c r="M46" s="120" t="s">
        <v>85</v>
      </c>
      <c r="N46" s="127"/>
      <c r="O46" s="127"/>
    </row>
    <row r="47" spans="1:15" s="171" customFormat="1" ht="13.5">
      <c r="A47" s="120" t="s">
        <v>312</v>
      </c>
      <c r="B47" s="121" t="s">
        <v>511</v>
      </c>
      <c r="C47" s="120" t="s">
        <v>512</v>
      </c>
      <c r="D47" s="151">
        <v>2024</v>
      </c>
      <c r="E47" s="151">
        <v>2</v>
      </c>
      <c r="F47" s="151" t="s">
        <v>207</v>
      </c>
      <c r="G47" s="136">
        <v>1500</v>
      </c>
      <c r="H47" s="120" t="s">
        <v>506</v>
      </c>
      <c r="I47" s="153">
        <v>600000</v>
      </c>
      <c r="J47" s="124">
        <v>45198</v>
      </c>
      <c r="K47" s="153">
        <v>600000</v>
      </c>
      <c r="L47" s="153">
        <v>0</v>
      </c>
      <c r="M47" s="120" t="s">
        <v>85</v>
      </c>
      <c r="N47" s="126"/>
      <c r="O47" s="126"/>
    </row>
    <row r="48" spans="1:15" s="171" customFormat="1" ht="13.5">
      <c r="A48" s="120" t="s">
        <v>515</v>
      </c>
      <c r="B48" s="121" t="s">
        <v>516</v>
      </c>
      <c r="C48" s="120" t="s">
        <v>517</v>
      </c>
      <c r="D48" s="151">
        <v>2024</v>
      </c>
      <c r="E48" s="151">
        <v>2</v>
      </c>
      <c r="F48" s="151" t="s">
        <v>207</v>
      </c>
      <c r="G48" s="136">
        <v>473</v>
      </c>
      <c r="H48" s="120" t="s">
        <v>506</v>
      </c>
      <c r="I48" s="153">
        <v>510000</v>
      </c>
      <c r="J48" s="124">
        <v>45191</v>
      </c>
      <c r="K48" s="153">
        <v>510000</v>
      </c>
      <c r="L48" s="153">
        <v>0</v>
      </c>
      <c r="M48" s="120" t="s">
        <v>85</v>
      </c>
      <c r="N48" s="126"/>
      <c r="O48" s="126"/>
    </row>
    <row r="49" spans="1:15" s="171" customFormat="1" ht="13.5">
      <c r="A49" s="120" t="s">
        <v>37</v>
      </c>
      <c r="B49" s="121" t="s">
        <v>509</v>
      </c>
      <c r="C49" s="120" t="s">
        <v>510</v>
      </c>
      <c r="D49" s="151">
        <v>2024</v>
      </c>
      <c r="E49" s="151">
        <v>2</v>
      </c>
      <c r="F49" s="151" t="s">
        <v>207</v>
      </c>
      <c r="G49" s="136">
        <v>1700</v>
      </c>
      <c r="H49" s="120" t="s">
        <v>506</v>
      </c>
      <c r="I49" s="153">
        <v>374000</v>
      </c>
      <c r="J49" s="124">
        <v>45226</v>
      </c>
      <c r="K49" s="153">
        <v>374000</v>
      </c>
      <c r="L49" s="153">
        <v>0</v>
      </c>
      <c r="M49" s="120" t="s">
        <v>85</v>
      </c>
      <c r="N49" s="126"/>
      <c r="O49" s="126"/>
    </row>
    <row r="50" spans="1:15" s="171" customFormat="1" ht="26.25">
      <c r="A50" s="120" t="s">
        <v>609</v>
      </c>
      <c r="B50" s="121" t="s">
        <v>695</v>
      </c>
      <c r="C50" s="120" t="s">
        <v>696</v>
      </c>
      <c r="D50" s="151">
        <v>2024</v>
      </c>
      <c r="E50" s="151">
        <v>2</v>
      </c>
      <c r="F50" s="151" t="s">
        <v>207</v>
      </c>
      <c r="G50" s="151">
        <v>1442</v>
      </c>
      <c r="H50" s="120" t="s">
        <v>506</v>
      </c>
      <c r="I50" s="153">
        <v>210000</v>
      </c>
      <c r="J50" s="124">
        <v>45233</v>
      </c>
      <c r="K50" s="153">
        <v>210000</v>
      </c>
      <c r="L50" s="153">
        <v>0</v>
      </c>
      <c r="M50" s="120" t="s">
        <v>85</v>
      </c>
      <c r="N50" s="127"/>
      <c r="O50" s="127"/>
    </row>
    <row r="51" spans="1:15" s="171" customFormat="1" ht="26.25">
      <c r="A51" s="120" t="s">
        <v>212</v>
      </c>
      <c r="B51" s="121" t="s">
        <v>504</v>
      </c>
      <c r="C51" s="120" t="s">
        <v>505</v>
      </c>
      <c r="D51" s="151">
        <v>2024</v>
      </c>
      <c r="E51" s="151">
        <v>2</v>
      </c>
      <c r="F51" s="151" t="s">
        <v>207</v>
      </c>
      <c r="G51" s="136">
        <v>12460</v>
      </c>
      <c r="H51" s="120" t="s">
        <v>506</v>
      </c>
      <c r="I51" s="153">
        <v>140000</v>
      </c>
      <c r="J51" s="124">
        <v>45198</v>
      </c>
      <c r="K51" s="153">
        <v>140000</v>
      </c>
      <c r="L51" s="153">
        <v>0</v>
      </c>
      <c r="M51" s="120" t="s">
        <v>85</v>
      </c>
      <c r="N51" s="126"/>
      <c r="O51" s="126"/>
    </row>
    <row r="52" spans="1:15" s="171" customFormat="1" ht="13.5">
      <c r="A52" s="120" t="s">
        <v>245</v>
      </c>
      <c r="B52" s="121" t="s">
        <v>507</v>
      </c>
      <c r="C52" s="120" t="s">
        <v>508</v>
      </c>
      <c r="D52" s="151">
        <v>2024</v>
      </c>
      <c r="E52" s="151">
        <v>2</v>
      </c>
      <c r="F52" s="151" t="s">
        <v>207</v>
      </c>
      <c r="G52" s="136">
        <v>905</v>
      </c>
      <c r="H52" s="120" t="s">
        <v>506</v>
      </c>
      <c r="I52" s="153">
        <v>121000</v>
      </c>
      <c r="J52" s="124">
        <v>45226</v>
      </c>
      <c r="K52" s="153">
        <v>121000</v>
      </c>
      <c r="L52" s="153">
        <v>0</v>
      </c>
      <c r="M52" s="120" t="s">
        <v>85</v>
      </c>
      <c r="N52" s="126"/>
      <c r="O52" s="126"/>
    </row>
    <row r="53" spans="1:15" s="171" customFormat="1" ht="13.5">
      <c r="A53" s="120" t="s">
        <v>140</v>
      </c>
      <c r="B53" s="121" t="s">
        <v>513</v>
      </c>
      <c r="C53" s="120" t="s">
        <v>514</v>
      </c>
      <c r="D53" s="151">
        <v>2024</v>
      </c>
      <c r="E53" s="151">
        <v>2</v>
      </c>
      <c r="F53" s="151" t="s">
        <v>207</v>
      </c>
      <c r="G53" s="136">
        <v>2509</v>
      </c>
      <c r="H53" s="120" t="s">
        <v>506</v>
      </c>
      <c r="I53" s="153">
        <v>54700</v>
      </c>
      <c r="J53" s="124">
        <v>45198</v>
      </c>
      <c r="K53" s="153">
        <v>54700</v>
      </c>
      <c r="L53" s="153">
        <v>0</v>
      </c>
      <c r="M53" s="120" t="s">
        <v>85</v>
      </c>
      <c r="N53" s="126"/>
      <c r="O53" s="126"/>
    </row>
    <row r="54" spans="1:15" s="171" customFormat="1" ht="12.75">
      <c r="A54" s="120" t="s">
        <v>445</v>
      </c>
      <c r="B54" s="121" t="s">
        <v>448</v>
      </c>
      <c r="C54" s="120" t="s">
        <v>691</v>
      </c>
      <c r="D54" s="151">
        <v>2024</v>
      </c>
      <c r="E54" s="151">
        <v>2</v>
      </c>
      <c r="F54" s="151">
        <v>80</v>
      </c>
      <c r="G54" s="151">
        <v>1264</v>
      </c>
      <c r="H54" s="120" t="s">
        <v>538</v>
      </c>
      <c r="I54" s="153">
        <v>2085000</v>
      </c>
      <c r="J54" s="128"/>
      <c r="K54" s="156"/>
      <c r="L54" s="153"/>
      <c r="M54" s="120" t="s">
        <v>85</v>
      </c>
      <c r="N54" s="126" t="s">
        <v>85</v>
      </c>
      <c r="O54" s="127"/>
    </row>
    <row r="55" spans="1:15" s="171" customFormat="1" ht="26.25">
      <c r="A55" s="120" t="s">
        <v>441</v>
      </c>
      <c r="B55" s="121" t="s">
        <v>523</v>
      </c>
      <c r="C55" s="120" t="s">
        <v>693</v>
      </c>
      <c r="D55" s="151">
        <v>2024</v>
      </c>
      <c r="E55" s="151">
        <v>2</v>
      </c>
      <c r="F55" s="151">
        <v>55</v>
      </c>
      <c r="G55" s="151">
        <v>2745</v>
      </c>
      <c r="H55" s="120" t="s">
        <v>538</v>
      </c>
      <c r="I55" s="153">
        <v>3941000</v>
      </c>
      <c r="J55" s="128"/>
      <c r="K55" s="156"/>
      <c r="L55" s="153"/>
      <c r="M55" s="120" t="s">
        <v>85</v>
      </c>
      <c r="N55" s="126" t="s">
        <v>85</v>
      </c>
      <c r="O55" s="127"/>
    </row>
    <row r="56" spans="1:15" s="171" customFormat="1" ht="26.25">
      <c r="A56" s="120" t="s">
        <v>444</v>
      </c>
      <c r="B56" s="121" t="s">
        <v>530</v>
      </c>
      <c r="C56" s="120" t="s">
        <v>531</v>
      </c>
      <c r="D56" s="151">
        <v>2024</v>
      </c>
      <c r="E56" s="151">
        <v>2</v>
      </c>
      <c r="F56" s="151">
        <v>55</v>
      </c>
      <c r="G56" s="151">
        <v>222</v>
      </c>
      <c r="H56" s="120" t="s">
        <v>475</v>
      </c>
      <c r="I56" s="153">
        <v>548000</v>
      </c>
      <c r="J56" s="128"/>
      <c r="K56" s="156"/>
      <c r="L56" s="153"/>
      <c r="M56" s="120" t="s">
        <v>85</v>
      </c>
      <c r="N56" s="127"/>
      <c r="O56" s="127"/>
    </row>
    <row r="57" spans="1:15" s="171" customFormat="1" ht="26.25">
      <c r="A57" s="120" t="s">
        <v>227</v>
      </c>
      <c r="B57" s="121" t="s">
        <v>518</v>
      </c>
      <c r="C57" s="120" t="s">
        <v>519</v>
      </c>
      <c r="D57" s="151">
        <v>2024</v>
      </c>
      <c r="E57" s="151">
        <v>2</v>
      </c>
      <c r="F57" s="151">
        <v>45</v>
      </c>
      <c r="G57" s="151">
        <v>1524</v>
      </c>
      <c r="H57" s="120" t="s">
        <v>475</v>
      </c>
      <c r="I57" s="153">
        <v>5776000</v>
      </c>
      <c r="J57" s="128"/>
      <c r="K57" s="156"/>
      <c r="L57" s="153"/>
      <c r="M57" s="120" t="s">
        <v>85</v>
      </c>
      <c r="N57" s="127"/>
      <c r="O57" s="127"/>
    </row>
    <row r="58" spans="1:15" s="171" customFormat="1" ht="12.75">
      <c r="A58" s="120" t="s">
        <v>181</v>
      </c>
      <c r="B58" s="121" t="s">
        <v>541</v>
      </c>
      <c r="C58" s="120" t="s">
        <v>542</v>
      </c>
      <c r="D58" s="151">
        <v>2024</v>
      </c>
      <c r="E58" s="151">
        <v>2</v>
      </c>
      <c r="F58" s="151">
        <v>45</v>
      </c>
      <c r="G58" s="151">
        <v>508</v>
      </c>
      <c r="H58" s="120" t="s">
        <v>475</v>
      </c>
      <c r="I58" s="153">
        <v>3123000</v>
      </c>
      <c r="J58" s="128"/>
      <c r="K58" s="156"/>
      <c r="L58" s="153"/>
      <c r="M58" s="120" t="s">
        <v>85</v>
      </c>
      <c r="N58" s="127"/>
      <c r="O58" s="127"/>
    </row>
    <row r="59" spans="1:15" s="171" customFormat="1" ht="12.75">
      <c r="A59" s="120" t="s">
        <v>443</v>
      </c>
      <c r="B59" s="121" t="s">
        <v>528</v>
      </c>
      <c r="C59" s="120" t="s">
        <v>529</v>
      </c>
      <c r="D59" s="151">
        <v>2024</v>
      </c>
      <c r="E59" s="151">
        <v>2</v>
      </c>
      <c r="F59" s="151">
        <v>45</v>
      </c>
      <c r="G59" s="151">
        <v>2828</v>
      </c>
      <c r="H59" s="120" t="s">
        <v>475</v>
      </c>
      <c r="I59" s="153">
        <v>809000</v>
      </c>
      <c r="J59" s="128"/>
      <c r="K59" s="156"/>
      <c r="L59" s="153"/>
      <c r="M59" s="120" t="s">
        <v>85</v>
      </c>
      <c r="N59" s="127"/>
      <c r="O59" s="127"/>
    </row>
    <row r="60" spans="1:15" s="171" customFormat="1" ht="26.25">
      <c r="A60" s="120" t="s">
        <v>245</v>
      </c>
      <c r="B60" s="121" t="s">
        <v>449</v>
      </c>
      <c r="C60" s="120" t="s">
        <v>544</v>
      </c>
      <c r="D60" s="151">
        <v>2024</v>
      </c>
      <c r="E60" s="151">
        <v>2</v>
      </c>
      <c r="F60" s="151">
        <v>40</v>
      </c>
      <c r="G60" s="151">
        <v>905</v>
      </c>
      <c r="H60" s="120" t="s">
        <v>475</v>
      </c>
      <c r="I60" s="153">
        <v>1026000</v>
      </c>
      <c r="J60" s="128"/>
      <c r="K60" s="156"/>
      <c r="L60" s="153"/>
      <c r="M60" s="120" t="s">
        <v>85</v>
      </c>
      <c r="N60" s="127"/>
      <c r="O60" s="127"/>
    </row>
    <row r="61" spans="1:15" s="171" customFormat="1" ht="26.25">
      <c r="A61" s="120" t="s">
        <v>238</v>
      </c>
      <c r="B61" s="121" t="s">
        <v>526</v>
      </c>
      <c r="C61" s="120" t="s">
        <v>527</v>
      </c>
      <c r="D61" s="151">
        <v>2024</v>
      </c>
      <c r="E61" s="151">
        <v>2</v>
      </c>
      <c r="F61" s="151">
        <v>35</v>
      </c>
      <c r="G61" s="151">
        <v>68723</v>
      </c>
      <c r="H61" s="120" t="s">
        <v>475</v>
      </c>
      <c r="I61" s="153">
        <v>12110000</v>
      </c>
      <c r="J61" s="128"/>
      <c r="K61" s="156"/>
      <c r="L61" s="153"/>
      <c r="M61" s="120" t="s">
        <v>85</v>
      </c>
      <c r="N61" s="127"/>
      <c r="O61" s="127"/>
    </row>
    <row r="62" spans="1:15" s="171" customFormat="1" ht="26.25">
      <c r="A62" s="120" t="s">
        <v>129</v>
      </c>
      <c r="B62" s="121" t="s">
        <v>534</v>
      </c>
      <c r="C62" s="120" t="s">
        <v>535</v>
      </c>
      <c r="D62" s="151">
        <v>2024</v>
      </c>
      <c r="E62" s="151">
        <v>2</v>
      </c>
      <c r="F62" s="151">
        <v>35</v>
      </c>
      <c r="G62" s="151">
        <v>600000</v>
      </c>
      <c r="H62" s="120" t="s">
        <v>475</v>
      </c>
      <c r="I62" s="153">
        <v>10703000</v>
      </c>
      <c r="J62" s="128"/>
      <c r="K62" s="156"/>
      <c r="L62" s="153"/>
      <c r="M62" s="120" t="s">
        <v>85</v>
      </c>
      <c r="N62" s="127"/>
      <c r="O62" s="127"/>
    </row>
    <row r="63" spans="1:15" s="171" customFormat="1" ht="12.75">
      <c r="A63" s="120" t="s">
        <v>442</v>
      </c>
      <c r="B63" s="121" t="s">
        <v>524</v>
      </c>
      <c r="C63" s="120" t="s">
        <v>525</v>
      </c>
      <c r="D63" s="151">
        <v>2024</v>
      </c>
      <c r="E63" s="151">
        <v>2</v>
      </c>
      <c r="F63" s="151">
        <v>35</v>
      </c>
      <c r="G63" s="151">
        <v>16391</v>
      </c>
      <c r="H63" s="120" t="s">
        <v>475</v>
      </c>
      <c r="I63" s="153">
        <v>6392000</v>
      </c>
      <c r="J63" s="128"/>
      <c r="K63" s="156"/>
      <c r="L63" s="153"/>
      <c r="M63" s="120" t="s">
        <v>85</v>
      </c>
      <c r="N63" s="127"/>
      <c r="O63" s="127"/>
    </row>
    <row r="64" spans="1:15" s="171" customFormat="1" ht="26.25">
      <c r="A64" s="120" t="s">
        <v>140</v>
      </c>
      <c r="B64" s="121" t="s">
        <v>447</v>
      </c>
      <c r="C64" s="120" t="s">
        <v>536</v>
      </c>
      <c r="D64" s="151">
        <v>2024</v>
      </c>
      <c r="E64" s="151">
        <v>2</v>
      </c>
      <c r="F64" s="151">
        <v>30</v>
      </c>
      <c r="G64" s="151">
        <v>2509</v>
      </c>
      <c r="H64" s="120" t="s">
        <v>475</v>
      </c>
      <c r="I64" s="153">
        <v>1439000</v>
      </c>
      <c r="J64" s="128"/>
      <c r="K64" s="156"/>
      <c r="L64" s="153"/>
      <c r="M64" s="120" t="s">
        <v>85</v>
      </c>
      <c r="N64" s="127"/>
      <c r="O64" s="127"/>
    </row>
    <row r="65" spans="1:15" s="171" customFormat="1" ht="26.25">
      <c r="A65" s="120" t="s">
        <v>210</v>
      </c>
      <c r="B65" s="121" t="s">
        <v>532</v>
      </c>
      <c r="C65" s="120" t="s">
        <v>533</v>
      </c>
      <c r="D65" s="151">
        <v>2024</v>
      </c>
      <c r="E65" s="151">
        <v>2</v>
      </c>
      <c r="F65" s="151">
        <v>30</v>
      </c>
      <c r="G65" s="151">
        <v>990</v>
      </c>
      <c r="H65" s="120" t="s">
        <v>475</v>
      </c>
      <c r="I65" s="153">
        <v>694000</v>
      </c>
      <c r="J65" s="128"/>
      <c r="K65" s="156"/>
      <c r="L65" s="153"/>
      <c r="M65" s="120" t="s">
        <v>85</v>
      </c>
      <c r="N65" s="127"/>
      <c r="O65" s="127"/>
    </row>
    <row r="66" spans="1:15" s="171" customFormat="1" ht="12.75">
      <c r="A66" s="120" t="s">
        <v>446</v>
      </c>
      <c r="B66" s="121" t="s">
        <v>450</v>
      </c>
      <c r="C66" s="120" t="s">
        <v>694</v>
      </c>
      <c r="D66" s="151">
        <v>2024</v>
      </c>
      <c r="E66" s="151">
        <v>2</v>
      </c>
      <c r="F66" s="151">
        <v>30</v>
      </c>
      <c r="G66" s="151">
        <v>2802</v>
      </c>
      <c r="H66" s="120" t="s">
        <v>475</v>
      </c>
      <c r="I66" s="153">
        <v>129000</v>
      </c>
      <c r="J66" s="128"/>
      <c r="K66" s="156"/>
      <c r="L66" s="153"/>
      <c r="M66" s="120" t="s">
        <v>85</v>
      </c>
      <c r="N66" s="127"/>
      <c r="O66" s="127"/>
    </row>
    <row r="67" spans="1:15" s="171" customFormat="1" ht="26.25">
      <c r="A67" s="120" t="s">
        <v>730</v>
      </c>
      <c r="B67" s="121" t="s">
        <v>539</v>
      </c>
      <c r="C67" s="120" t="s">
        <v>540</v>
      </c>
      <c r="D67" s="151">
        <v>2024</v>
      </c>
      <c r="E67" s="151">
        <v>2</v>
      </c>
      <c r="F67" s="151">
        <v>20</v>
      </c>
      <c r="G67" s="151">
        <v>141063</v>
      </c>
      <c r="H67" s="120" t="s">
        <v>538</v>
      </c>
      <c r="I67" s="153">
        <v>5548000</v>
      </c>
      <c r="J67" s="128"/>
      <c r="K67" s="156"/>
      <c r="L67" s="153"/>
      <c r="M67" s="120" t="s">
        <v>85</v>
      </c>
      <c r="N67" s="127"/>
      <c r="O67" s="126" t="s">
        <v>85</v>
      </c>
    </row>
    <row r="68" spans="1:15" s="171" customFormat="1" ht="26.25">
      <c r="A68" s="120" t="s">
        <v>520</v>
      </c>
      <c r="B68" s="121" t="s">
        <v>521</v>
      </c>
      <c r="C68" s="120" t="s">
        <v>522</v>
      </c>
      <c r="D68" s="151">
        <v>2024</v>
      </c>
      <c r="E68" s="151">
        <v>2</v>
      </c>
      <c r="F68" s="151">
        <v>20</v>
      </c>
      <c r="G68" s="151">
        <v>15000</v>
      </c>
      <c r="H68" s="120" t="s">
        <v>475</v>
      </c>
      <c r="I68" s="153">
        <v>3802000</v>
      </c>
      <c r="J68" s="128"/>
      <c r="K68" s="156"/>
      <c r="L68" s="153"/>
      <c r="M68" s="120" t="s">
        <v>85</v>
      </c>
      <c r="N68" s="127"/>
      <c r="O68" s="127"/>
    </row>
    <row r="69" spans="1:15" s="171" customFormat="1" ht="26.25">
      <c r="A69" s="120" t="s">
        <v>729</v>
      </c>
      <c r="B69" s="121" t="s">
        <v>537</v>
      </c>
      <c r="C69" s="120" t="s">
        <v>690</v>
      </c>
      <c r="D69" s="151">
        <v>2024</v>
      </c>
      <c r="E69" s="151">
        <v>2</v>
      </c>
      <c r="F69" s="151">
        <v>20</v>
      </c>
      <c r="G69" s="151">
        <v>141063</v>
      </c>
      <c r="H69" s="120" t="s">
        <v>538</v>
      </c>
      <c r="I69" s="153">
        <v>241000</v>
      </c>
      <c r="J69" s="128"/>
      <c r="K69" s="156"/>
      <c r="L69" s="153"/>
      <c r="M69" s="120" t="s">
        <v>85</v>
      </c>
      <c r="N69" s="127"/>
      <c r="O69" s="126" t="s">
        <v>85</v>
      </c>
    </row>
    <row r="70" spans="1:15" s="171" customFormat="1" ht="26.25">
      <c r="A70" s="120" t="s">
        <v>129</v>
      </c>
      <c r="B70" s="121" t="s">
        <v>552</v>
      </c>
      <c r="C70" s="120" t="s">
        <v>553</v>
      </c>
      <c r="D70" s="151">
        <v>2024</v>
      </c>
      <c r="E70" s="151">
        <v>1</v>
      </c>
      <c r="F70" s="151" t="s">
        <v>207</v>
      </c>
      <c r="G70" s="151">
        <v>600000</v>
      </c>
      <c r="H70" s="120" t="s">
        <v>506</v>
      </c>
      <c r="I70" s="153">
        <v>10599673</v>
      </c>
      <c r="J70" s="124">
        <v>45121</v>
      </c>
      <c r="K70" s="153">
        <v>10599673</v>
      </c>
      <c r="L70" s="153">
        <v>0</v>
      </c>
      <c r="M70" s="120" t="s">
        <v>85</v>
      </c>
      <c r="N70" s="126"/>
      <c r="O70" s="126"/>
    </row>
    <row r="71" spans="1:15" s="171" customFormat="1" ht="26.25">
      <c r="A71" s="120" t="s">
        <v>547</v>
      </c>
      <c r="B71" s="121" t="s">
        <v>548</v>
      </c>
      <c r="C71" s="120" t="s">
        <v>549</v>
      </c>
      <c r="D71" s="151">
        <v>2024</v>
      </c>
      <c r="E71" s="151">
        <v>1</v>
      </c>
      <c r="F71" s="151" t="s">
        <v>207</v>
      </c>
      <c r="G71" s="136">
        <v>63000</v>
      </c>
      <c r="H71" s="120" t="s">
        <v>506</v>
      </c>
      <c r="I71" s="153">
        <v>1503400</v>
      </c>
      <c r="J71" s="124">
        <v>45121</v>
      </c>
      <c r="K71" s="153">
        <v>1503400</v>
      </c>
      <c r="L71" s="153">
        <v>0</v>
      </c>
      <c r="M71" s="120" t="s">
        <v>85</v>
      </c>
      <c r="N71" s="126"/>
      <c r="O71" s="126"/>
    </row>
    <row r="72" spans="1:15" s="171" customFormat="1" ht="13.5">
      <c r="A72" s="120" t="s">
        <v>390</v>
      </c>
      <c r="B72" s="121" t="s">
        <v>545</v>
      </c>
      <c r="C72" s="120" t="s">
        <v>546</v>
      </c>
      <c r="D72" s="151">
        <v>2024</v>
      </c>
      <c r="E72" s="151">
        <v>1</v>
      </c>
      <c r="F72" s="151" t="s">
        <v>207</v>
      </c>
      <c r="G72" s="136">
        <v>975</v>
      </c>
      <c r="H72" s="120" t="s">
        <v>506</v>
      </c>
      <c r="I72" s="153">
        <v>130000</v>
      </c>
      <c r="J72" s="124">
        <v>45170</v>
      </c>
      <c r="K72" s="153">
        <v>130000</v>
      </c>
      <c r="L72" s="153">
        <v>0</v>
      </c>
      <c r="M72" s="120" t="s">
        <v>85</v>
      </c>
      <c r="N72" s="126"/>
      <c r="O72" s="126"/>
    </row>
    <row r="73" spans="1:15" s="171" customFormat="1" ht="12.75">
      <c r="A73" s="120" t="s">
        <v>428</v>
      </c>
      <c r="B73" s="121" t="s">
        <v>431</v>
      </c>
      <c r="C73" s="120" t="s">
        <v>503</v>
      </c>
      <c r="D73" s="151">
        <v>2024</v>
      </c>
      <c r="E73" s="151">
        <v>1</v>
      </c>
      <c r="F73" s="151">
        <v>90</v>
      </c>
      <c r="G73" s="151">
        <v>9564</v>
      </c>
      <c r="H73" s="120" t="s">
        <v>475</v>
      </c>
      <c r="I73" s="153">
        <v>35000000</v>
      </c>
      <c r="J73" s="124"/>
      <c r="K73" s="153"/>
      <c r="L73" s="153"/>
      <c r="M73" s="120" t="s">
        <v>85</v>
      </c>
      <c r="N73" s="126"/>
      <c r="O73" s="126"/>
    </row>
    <row r="74" spans="1:15" s="171" customFormat="1" ht="26.25">
      <c r="A74" s="120" t="s">
        <v>732</v>
      </c>
      <c r="B74" s="121" t="s">
        <v>429</v>
      </c>
      <c r="C74" s="120" t="s">
        <v>561</v>
      </c>
      <c r="D74" s="151">
        <v>2024</v>
      </c>
      <c r="E74" s="151">
        <v>1</v>
      </c>
      <c r="F74" s="151">
        <v>55</v>
      </c>
      <c r="G74" s="151">
        <v>3730</v>
      </c>
      <c r="H74" s="120" t="s">
        <v>538</v>
      </c>
      <c r="I74" s="153">
        <v>726000</v>
      </c>
      <c r="J74" s="124"/>
      <c r="K74" s="153"/>
      <c r="L74" s="153"/>
      <c r="M74" s="120" t="s">
        <v>85</v>
      </c>
      <c r="N74" s="126" t="s">
        <v>85</v>
      </c>
      <c r="O74" s="126"/>
    </row>
    <row r="75" spans="1:15" s="171" customFormat="1" ht="12.75">
      <c r="A75" s="120" t="s">
        <v>117</v>
      </c>
      <c r="B75" s="121" t="s">
        <v>435</v>
      </c>
      <c r="C75" s="120" t="s">
        <v>560</v>
      </c>
      <c r="D75" s="151">
        <v>2024</v>
      </c>
      <c r="E75" s="151">
        <v>1</v>
      </c>
      <c r="F75" s="151">
        <v>45</v>
      </c>
      <c r="G75" s="151">
        <v>508</v>
      </c>
      <c r="H75" s="120" t="s">
        <v>475</v>
      </c>
      <c r="I75" s="153">
        <v>1027000</v>
      </c>
      <c r="J75" s="124"/>
      <c r="K75" s="153"/>
      <c r="L75" s="153"/>
      <c r="M75" s="120" t="s">
        <v>85</v>
      </c>
      <c r="N75" s="126"/>
      <c r="O75" s="126"/>
    </row>
    <row r="76" spans="1:15" s="171" customFormat="1" ht="39">
      <c r="A76" s="120" t="s">
        <v>129</v>
      </c>
      <c r="B76" s="121" t="s">
        <v>432</v>
      </c>
      <c r="C76" s="120" t="s">
        <v>556</v>
      </c>
      <c r="D76" s="151">
        <v>2024</v>
      </c>
      <c r="E76" s="151">
        <v>1</v>
      </c>
      <c r="F76" s="151">
        <v>30</v>
      </c>
      <c r="G76" s="151">
        <v>600000</v>
      </c>
      <c r="H76" s="120" t="s">
        <v>475</v>
      </c>
      <c r="I76" s="153">
        <v>150750000</v>
      </c>
      <c r="J76" s="124"/>
      <c r="K76" s="153"/>
      <c r="L76" s="153"/>
      <c r="M76" s="120" t="s">
        <v>85</v>
      </c>
      <c r="N76" s="126"/>
      <c r="O76" s="126"/>
    </row>
    <row r="77" spans="1:15" s="171" customFormat="1" ht="12.75">
      <c r="A77" s="120" t="s">
        <v>126</v>
      </c>
      <c r="B77" s="121" t="s">
        <v>430</v>
      </c>
      <c r="C77" s="120" t="s">
        <v>508</v>
      </c>
      <c r="D77" s="151">
        <v>2024</v>
      </c>
      <c r="E77" s="151">
        <v>1</v>
      </c>
      <c r="F77" s="151">
        <v>30</v>
      </c>
      <c r="G77" s="151">
        <v>24912</v>
      </c>
      <c r="H77" s="120" t="s">
        <v>475</v>
      </c>
      <c r="I77" s="153">
        <v>11217000</v>
      </c>
      <c r="J77" s="124"/>
      <c r="K77" s="153"/>
      <c r="L77" s="153"/>
      <c r="M77" s="120" t="s">
        <v>85</v>
      </c>
      <c r="N77" s="126"/>
      <c r="O77" s="126"/>
    </row>
    <row r="78" spans="1:15" s="171" customFormat="1" ht="26.25">
      <c r="A78" s="120" t="s">
        <v>437</v>
      </c>
      <c r="B78" s="121" t="s">
        <v>436</v>
      </c>
      <c r="C78" s="120" t="s">
        <v>555</v>
      </c>
      <c r="D78" s="151">
        <v>2024</v>
      </c>
      <c r="E78" s="151">
        <v>1</v>
      </c>
      <c r="F78" s="151">
        <v>20</v>
      </c>
      <c r="G78" s="151">
        <v>600000</v>
      </c>
      <c r="H78" s="120" t="s">
        <v>538</v>
      </c>
      <c r="I78" s="153">
        <v>12070000</v>
      </c>
      <c r="J78" s="124"/>
      <c r="K78" s="153"/>
      <c r="L78" s="153"/>
      <c r="M78" s="120" t="s">
        <v>85</v>
      </c>
      <c r="N78" s="126"/>
      <c r="O78" s="126" t="s">
        <v>85</v>
      </c>
    </row>
    <row r="79" spans="1:15" s="171" customFormat="1" ht="12.75">
      <c r="A79" s="120" t="s">
        <v>728</v>
      </c>
      <c r="B79" s="121" t="s">
        <v>438</v>
      </c>
      <c r="C79" s="120" t="s">
        <v>554</v>
      </c>
      <c r="D79" s="151">
        <v>2024</v>
      </c>
      <c r="E79" s="151">
        <v>1</v>
      </c>
      <c r="F79" s="151">
        <v>20</v>
      </c>
      <c r="G79" s="151">
        <v>62799</v>
      </c>
      <c r="H79" s="120" t="s">
        <v>538</v>
      </c>
      <c r="I79" s="153">
        <v>2525000</v>
      </c>
      <c r="J79" s="124"/>
      <c r="K79" s="153"/>
      <c r="L79" s="153"/>
      <c r="M79" s="120" t="s">
        <v>85</v>
      </c>
      <c r="N79" s="126"/>
      <c r="O79" s="126" t="s">
        <v>85</v>
      </c>
    </row>
    <row r="80" spans="1:15" s="171" customFormat="1" ht="26.25">
      <c r="A80" s="120" t="s">
        <v>557</v>
      </c>
      <c r="B80" s="121" t="s">
        <v>433</v>
      </c>
      <c r="C80" s="120" t="s">
        <v>558</v>
      </c>
      <c r="D80" s="151">
        <v>2024</v>
      </c>
      <c r="E80" s="151">
        <v>1</v>
      </c>
      <c r="F80" s="151">
        <v>20</v>
      </c>
      <c r="G80" s="151">
        <v>137200</v>
      </c>
      <c r="H80" s="120" t="s">
        <v>538</v>
      </c>
      <c r="I80" s="153">
        <v>2518000</v>
      </c>
      <c r="J80" s="124"/>
      <c r="K80" s="153"/>
      <c r="L80" s="153"/>
      <c r="M80" s="120" t="s">
        <v>85</v>
      </c>
      <c r="N80" s="126"/>
      <c r="O80" s="126" t="s">
        <v>85</v>
      </c>
    </row>
    <row r="81" spans="1:15" s="171" customFormat="1" ht="26.25">
      <c r="A81" s="120" t="s">
        <v>726</v>
      </c>
      <c r="B81" s="121" t="s">
        <v>439</v>
      </c>
      <c r="C81" s="120" t="s">
        <v>551</v>
      </c>
      <c r="D81" s="151">
        <v>2024</v>
      </c>
      <c r="E81" s="151">
        <v>1</v>
      </c>
      <c r="F81" s="151">
        <v>20</v>
      </c>
      <c r="G81" s="151">
        <v>58983</v>
      </c>
      <c r="H81" s="120" t="s">
        <v>538</v>
      </c>
      <c r="I81" s="153">
        <v>2000000</v>
      </c>
      <c r="J81" s="124"/>
      <c r="K81" s="153"/>
      <c r="L81" s="153"/>
      <c r="M81" s="120" t="s">
        <v>85</v>
      </c>
      <c r="N81" s="126"/>
      <c r="O81" s="126" t="s">
        <v>85</v>
      </c>
    </row>
    <row r="82" spans="1:15" s="171" customFormat="1" ht="26.25">
      <c r="A82" s="120" t="s">
        <v>727</v>
      </c>
      <c r="B82" s="121" t="s">
        <v>440</v>
      </c>
      <c r="C82" s="120" t="s">
        <v>550</v>
      </c>
      <c r="D82" s="151">
        <v>2024</v>
      </c>
      <c r="E82" s="151">
        <v>1</v>
      </c>
      <c r="F82" s="151">
        <v>20</v>
      </c>
      <c r="G82" s="151">
        <v>58983</v>
      </c>
      <c r="H82" s="120" t="s">
        <v>538</v>
      </c>
      <c r="I82" s="153">
        <v>1907000</v>
      </c>
      <c r="J82" s="124"/>
      <c r="K82" s="153"/>
      <c r="L82" s="153"/>
      <c r="M82" s="120" t="s">
        <v>85</v>
      </c>
      <c r="N82" s="126"/>
      <c r="O82" s="126" t="s">
        <v>85</v>
      </c>
    </row>
    <row r="83" spans="1:15" s="171" customFormat="1" ht="26.25">
      <c r="A83" s="120" t="s">
        <v>725</v>
      </c>
      <c r="B83" s="121" t="s">
        <v>434</v>
      </c>
      <c r="C83" s="120" t="s">
        <v>559</v>
      </c>
      <c r="D83" s="151">
        <v>2024</v>
      </c>
      <c r="E83" s="151">
        <v>1</v>
      </c>
      <c r="F83" s="151">
        <v>20</v>
      </c>
      <c r="G83" s="151">
        <v>26700</v>
      </c>
      <c r="H83" s="120" t="s">
        <v>538</v>
      </c>
      <c r="I83" s="153">
        <v>920000</v>
      </c>
      <c r="J83" s="124"/>
      <c r="K83" s="153"/>
      <c r="L83" s="153"/>
      <c r="M83" s="120" t="s">
        <v>85</v>
      </c>
      <c r="N83" s="126"/>
      <c r="O83" s="126" t="s">
        <v>85</v>
      </c>
    </row>
    <row r="84" spans="1:15" s="171" customFormat="1" ht="12.75">
      <c r="A84" s="122" t="s">
        <v>682</v>
      </c>
      <c r="B84" s="158" t="s">
        <v>724</v>
      </c>
      <c r="C84" s="120" t="s">
        <v>733</v>
      </c>
      <c r="D84" s="151">
        <v>2024</v>
      </c>
      <c r="E84" s="151">
        <v>1</v>
      </c>
      <c r="F84" s="120" t="s">
        <v>207</v>
      </c>
      <c r="G84" s="151">
        <v>2087</v>
      </c>
      <c r="H84" s="120" t="s">
        <v>506</v>
      </c>
      <c r="I84" s="153">
        <v>1154000</v>
      </c>
      <c r="J84" s="125">
        <v>45114</v>
      </c>
      <c r="K84" s="160">
        <v>1154000</v>
      </c>
      <c r="L84" s="153">
        <v>0</v>
      </c>
      <c r="M84" s="120" t="s">
        <v>85</v>
      </c>
      <c r="N84" s="120"/>
      <c r="O84" s="120"/>
    </row>
    <row r="85" spans="1:15" s="171" customFormat="1" ht="26.25">
      <c r="A85" s="122" t="s">
        <v>442</v>
      </c>
      <c r="B85" s="158" t="s">
        <v>722</v>
      </c>
      <c r="C85" s="120" t="s">
        <v>735</v>
      </c>
      <c r="D85" s="151">
        <v>2024</v>
      </c>
      <c r="E85" s="151">
        <v>1</v>
      </c>
      <c r="F85" s="120" t="s">
        <v>207</v>
      </c>
      <c r="G85" s="151">
        <v>16391</v>
      </c>
      <c r="H85" s="120" t="s">
        <v>506</v>
      </c>
      <c r="I85" s="153">
        <v>800000</v>
      </c>
      <c r="J85" s="125">
        <v>45114</v>
      </c>
      <c r="K85" s="160">
        <v>800000</v>
      </c>
      <c r="L85" s="153">
        <v>0</v>
      </c>
      <c r="M85" s="120" t="s">
        <v>85</v>
      </c>
      <c r="N85" s="120"/>
      <c r="O85" s="120"/>
    </row>
    <row r="86" spans="1:15" s="171" customFormat="1" ht="12.75">
      <c r="A86" s="122" t="s">
        <v>117</v>
      </c>
      <c r="B86" s="158" t="s">
        <v>723</v>
      </c>
      <c r="C86" s="120" t="s">
        <v>734</v>
      </c>
      <c r="D86" s="161">
        <v>2024</v>
      </c>
      <c r="E86" s="151">
        <v>1</v>
      </c>
      <c r="F86" s="120" t="s">
        <v>207</v>
      </c>
      <c r="G86" s="151">
        <v>508</v>
      </c>
      <c r="H86" s="120" t="s">
        <v>506</v>
      </c>
      <c r="I86" s="153">
        <v>139000</v>
      </c>
      <c r="J86" s="125">
        <v>45114</v>
      </c>
      <c r="K86" s="160">
        <v>139000</v>
      </c>
      <c r="L86" s="153">
        <v>0</v>
      </c>
      <c r="M86" s="120" t="s">
        <v>85</v>
      </c>
      <c r="N86" s="120"/>
      <c r="O86" s="120"/>
    </row>
    <row r="87" spans="1:15" s="171" customFormat="1" ht="13.5">
      <c r="A87" s="120" t="s">
        <v>425</v>
      </c>
      <c r="B87" s="121" t="s">
        <v>562</v>
      </c>
      <c r="C87" s="120" t="s">
        <v>503</v>
      </c>
      <c r="D87" s="151">
        <v>2023</v>
      </c>
      <c r="E87" s="151">
        <v>4</v>
      </c>
      <c r="F87" s="151" t="s">
        <v>207</v>
      </c>
      <c r="G87" s="136">
        <v>729</v>
      </c>
      <c r="H87" s="120" t="s">
        <v>475</v>
      </c>
      <c r="I87" s="153">
        <v>614000</v>
      </c>
      <c r="J87" s="124"/>
      <c r="K87" s="153"/>
      <c r="L87" s="153"/>
      <c r="M87" s="120" t="s">
        <v>85</v>
      </c>
      <c r="N87" s="126"/>
      <c r="O87" s="126"/>
    </row>
    <row r="88" spans="1:15" s="171" customFormat="1" ht="26.25">
      <c r="A88" s="120" t="s">
        <v>731</v>
      </c>
      <c r="B88" s="121" t="s">
        <v>411</v>
      </c>
      <c r="C88" s="120" t="s">
        <v>581</v>
      </c>
      <c r="D88" s="151">
        <v>2023</v>
      </c>
      <c r="E88" s="151">
        <v>4</v>
      </c>
      <c r="F88" s="151">
        <v>60</v>
      </c>
      <c r="G88" s="151">
        <v>23713</v>
      </c>
      <c r="H88" s="120" t="s">
        <v>538</v>
      </c>
      <c r="I88" s="153">
        <v>3499000</v>
      </c>
      <c r="J88" s="124"/>
      <c r="K88" s="153"/>
      <c r="L88" s="153"/>
      <c r="M88" s="120" t="s">
        <v>85</v>
      </c>
      <c r="N88" s="126" t="s">
        <v>85</v>
      </c>
      <c r="O88" s="126"/>
    </row>
    <row r="89" spans="1:15" s="171" customFormat="1" ht="12.75">
      <c r="A89" s="120" t="s">
        <v>731</v>
      </c>
      <c r="B89" s="121" t="s">
        <v>410</v>
      </c>
      <c r="C89" s="120" t="s">
        <v>582</v>
      </c>
      <c r="D89" s="151">
        <v>2023</v>
      </c>
      <c r="E89" s="151">
        <v>4</v>
      </c>
      <c r="F89" s="151">
        <v>45</v>
      </c>
      <c r="G89" s="151">
        <v>23713</v>
      </c>
      <c r="H89" s="120" t="s">
        <v>538</v>
      </c>
      <c r="I89" s="153">
        <v>16356000</v>
      </c>
      <c r="J89" s="124"/>
      <c r="K89" s="153"/>
      <c r="L89" s="153"/>
      <c r="M89" s="120" t="s">
        <v>85</v>
      </c>
      <c r="N89" s="126" t="s">
        <v>85</v>
      </c>
      <c r="O89" s="126"/>
    </row>
    <row r="90" spans="1:15" s="171" customFormat="1" ht="12.75">
      <c r="A90" s="120" t="s">
        <v>423</v>
      </c>
      <c r="B90" s="121" t="s">
        <v>424</v>
      </c>
      <c r="C90" s="120" t="s">
        <v>564</v>
      </c>
      <c r="D90" s="151">
        <v>2023</v>
      </c>
      <c r="E90" s="151">
        <v>4</v>
      </c>
      <c r="F90" s="151">
        <v>45</v>
      </c>
      <c r="G90" s="151">
        <v>5899</v>
      </c>
      <c r="H90" s="120" t="s">
        <v>475</v>
      </c>
      <c r="I90" s="153">
        <v>7582000</v>
      </c>
      <c r="J90" s="124"/>
      <c r="K90" s="153"/>
      <c r="L90" s="153"/>
      <c r="M90" s="120" t="s">
        <v>85</v>
      </c>
      <c r="N90" s="126"/>
      <c r="O90" s="126"/>
    </row>
    <row r="91" spans="1:15" s="171" customFormat="1" ht="12.75">
      <c r="A91" s="120" t="s">
        <v>425</v>
      </c>
      <c r="B91" s="121" t="s">
        <v>426</v>
      </c>
      <c r="C91" s="120" t="s">
        <v>503</v>
      </c>
      <c r="D91" s="151">
        <v>2023</v>
      </c>
      <c r="E91" s="151">
        <v>4</v>
      </c>
      <c r="F91" s="151">
        <v>45</v>
      </c>
      <c r="G91" s="151">
        <v>729</v>
      </c>
      <c r="H91" s="120" t="s">
        <v>475</v>
      </c>
      <c r="I91" s="153">
        <v>4841000</v>
      </c>
      <c r="J91" s="124"/>
      <c r="K91" s="153"/>
      <c r="L91" s="153"/>
      <c r="M91" s="120" t="s">
        <v>85</v>
      </c>
      <c r="N91" s="126"/>
      <c r="O91" s="126"/>
    </row>
    <row r="92" spans="1:15" s="171" customFormat="1" ht="12.75">
      <c r="A92" s="120" t="s">
        <v>132</v>
      </c>
      <c r="B92" s="121" t="s">
        <v>427</v>
      </c>
      <c r="C92" s="120" t="s">
        <v>563</v>
      </c>
      <c r="D92" s="151">
        <v>2023</v>
      </c>
      <c r="E92" s="151">
        <v>4</v>
      </c>
      <c r="F92" s="151">
        <v>45</v>
      </c>
      <c r="G92" s="151">
        <v>12478</v>
      </c>
      <c r="H92" s="120" t="s">
        <v>475</v>
      </c>
      <c r="I92" s="153">
        <v>2361000</v>
      </c>
      <c r="J92" s="124"/>
      <c r="K92" s="153"/>
      <c r="L92" s="153"/>
      <c r="M92" s="120" t="s">
        <v>85</v>
      </c>
      <c r="N92" s="126"/>
      <c r="O92" s="126"/>
    </row>
    <row r="93" spans="1:15" s="171" customFormat="1" ht="12.75">
      <c r="A93" s="120" t="s">
        <v>572</v>
      </c>
      <c r="B93" s="121" t="s">
        <v>417</v>
      </c>
      <c r="C93" s="120" t="s">
        <v>573</v>
      </c>
      <c r="D93" s="151">
        <v>2023</v>
      </c>
      <c r="E93" s="151">
        <v>4</v>
      </c>
      <c r="F93" s="151">
        <v>45</v>
      </c>
      <c r="G93" s="151">
        <v>1992</v>
      </c>
      <c r="H93" s="120" t="s">
        <v>475</v>
      </c>
      <c r="I93" s="153">
        <v>1750000</v>
      </c>
      <c r="J93" s="124"/>
      <c r="K93" s="153"/>
      <c r="L93" s="153"/>
      <c r="M93" s="120" t="s">
        <v>85</v>
      </c>
      <c r="N93" s="126"/>
      <c r="O93" s="126"/>
    </row>
    <row r="94" spans="1:15" s="171" customFormat="1" ht="26.25">
      <c r="A94" s="120" t="s">
        <v>515</v>
      </c>
      <c r="B94" s="121" t="s">
        <v>418</v>
      </c>
      <c r="C94" s="120" t="s">
        <v>571</v>
      </c>
      <c r="D94" s="151">
        <v>2023</v>
      </c>
      <c r="E94" s="151">
        <v>4</v>
      </c>
      <c r="F94" s="151">
        <v>40</v>
      </c>
      <c r="G94" s="151">
        <v>473</v>
      </c>
      <c r="H94" s="120" t="s">
        <v>475</v>
      </c>
      <c r="I94" s="153">
        <v>5507000</v>
      </c>
      <c r="J94" s="124"/>
      <c r="K94" s="153"/>
      <c r="L94" s="153"/>
      <c r="M94" s="120" t="s">
        <v>85</v>
      </c>
      <c r="N94" s="126"/>
      <c r="O94" s="126"/>
    </row>
    <row r="95" spans="1:15" s="171" customFormat="1" ht="12.75">
      <c r="A95" s="120" t="s">
        <v>211</v>
      </c>
      <c r="B95" s="121" t="s">
        <v>416</v>
      </c>
      <c r="C95" s="120" t="s">
        <v>574</v>
      </c>
      <c r="D95" s="151">
        <v>2023</v>
      </c>
      <c r="E95" s="151">
        <v>4</v>
      </c>
      <c r="F95" s="151">
        <v>40</v>
      </c>
      <c r="G95" s="151">
        <v>1700</v>
      </c>
      <c r="H95" s="120" t="s">
        <v>475</v>
      </c>
      <c r="I95" s="153">
        <v>4187000</v>
      </c>
      <c r="J95" s="124"/>
      <c r="K95" s="153"/>
      <c r="L95" s="153"/>
      <c r="M95" s="120" t="s">
        <v>85</v>
      </c>
      <c r="N95" s="126"/>
      <c r="O95" s="126"/>
    </row>
    <row r="96" spans="1:15" s="171" customFormat="1" ht="26.25">
      <c r="A96" s="120" t="s">
        <v>446</v>
      </c>
      <c r="B96" s="121" t="s">
        <v>419</v>
      </c>
      <c r="C96" s="120" t="s">
        <v>570</v>
      </c>
      <c r="D96" s="151">
        <v>2023</v>
      </c>
      <c r="E96" s="151">
        <v>4</v>
      </c>
      <c r="F96" s="151">
        <v>40</v>
      </c>
      <c r="G96" s="151">
        <v>2802</v>
      </c>
      <c r="H96" s="120" t="s">
        <v>475</v>
      </c>
      <c r="I96" s="153">
        <v>1932000</v>
      </c>
      <c r="J96" s="124"/>
      <c r="K96" s="153"/>
      <c r="L96" s="153"/>
      <c r="M96" s="120" t="s">
        <v>85</v>
      </c>
      <c r="N96" s="126"/>
      <c r="O96" s="126"/>
    </row>
    <row r="97" spans="1:15" s="171" customFormat="1" ht="12.75">
      <c r="A97" s="120" t="s">
        <v>25</v>
      </c>
      <c r="B97" s="121" t="s">
        <v>585</v>
      </c>
      <c r="C97" s="120" t="s">
        <v>508</v>
      </c>
      <c r="D97" s="151">
        <v>2023</v>
      </c>
      <c r="E97" s="151">
        <v>4</v>
      </c>
      <c r="F97" s="151">
        <v>40</v>
      </c>
      <c r="G97" s="151">
        <v>511</v>
      </c>
      <c r="H97" s="120" t="s">
        <v>475</v>
      </c>
      <c r="I97" s="153">
        <v>490000</v>
      </c>
      <c r="J97" s="124"/>
      <c r="K97" s="153"/>
      <c r="L97" s="153"/>
      <c r="M97" s="120" t="s">
        <v>85</v>
      </c>
      <c r="N97" s="126"/>
      <c r="O97" s="126"/>
    </row>
    <row r="98" spans="1:15" s="171" customFormat="1" ht="26.25">
      <c r="A98" s="120" t="s">
        <v>234</v>
      </c>
      <c r="B98" s="121" t="s">
        <v>421</v>
      </c>
      <c r="C98" s="120" t="s">
        <v>567</v>
      </c>
      <c r="D98" s="151">
        <v>2023</v>
      </c>
      <c r="E98" s="151">
        <v>4</v>
      </c>
      <c r="F98" s="151">
        <v>35</v>
      </c>
      <c r="G98" s="151">
        <v>27591</v>
      </c>
      <c r="H98" s="120" t="s">
        <v>475</v>
      </c>
      <c r="I98" s="153">
        <v>36254000</v>
      </c>
      <c r="J98" s="124"/>
      <c r="K98" s="153"/>
      <c r="L98" s="153"/>
      <c r="M98" s="120" t="s">
        <v>85</v>
      </c>
      <c r="N98" s="126"/>
      <c r="O98" s="126"/>
    </row>
    <row r="99" spans="1:15" s="171" customFormat="1" ht="12.75">
      <c r="A99" s="120" t="s">
        <v>565</v>
      </c>
      <c r="B99" s="121" t="s">
        <v>422</v>
      </c>
      <c r="C99" s="120" t="s">
        <v>566</v>
      </c>
      <c r="D99" s="151">
        <v>2023</v>
      </c>
      <c r="E99" s="151">
        <v>4</v>
      </c>
      <c r="F99" s="151">
        <v>35</v>
      </c>
      <c r="G99" s="151">
        <v>138</v>
      </c>
      <c r="H99" s="120" t="s">
        <v>475</v>
      </c>
      <c r="I99" s="153">
        <v>615000</v>
      </c>
      <c r="J99" s="124"/>
      <c r="K99" s="153"/>
      <c r="L99" s="153"/>
      <c r="M99" s="120" t="s">
        <v>85</v>
      </c>
      <c r="N99" s="126"/>
      <c r="O99" s="126"/>
    </row>
    <row r="100" spans="1:15" s="171" customFormat="1" ht="26.25">
      <c r="A100" s="120" t="s">
        <v>568</v>
      </c>
      <c r="B100" s="121" t="s">
        <v>420</v>
      </c>
      <c r="C100" s="120" t="s">
        <v>569</v>
      </c>
      <c r="D100" s="151">
        <v>2023</v>
      </c>
      <c r="E100" s="151">
        <v>4</v>
      </c>
      <c r="F100" s="151">
        <v>30</v>
      </c>
      <c r="G100" s="151">
        <v>10100</v>
      </c>
      <c r="H100" s="120" t="s">
        <v>475</v>
      </c>
      <c r="I100" s="153">
        <v>2376000</v>
      </c>
      <c r="J100" s="124"/>
      <c r="K100" s="153"/>
      <c r="L100" s="153"/>
      <c r="M100" s="120" t="s">
        <v>85</v>
      </c>
      <c r="N100" s="126"/>
      <c r="O100" s="126"/>
    </row>
    <row r="101" spans="1:15" s="171" customFormat="1" ht="12.75">
      <c r="A101" s="120" t="s">
        <v>577</v>
      </c>
      <c r="B101" s="121" t="s">
        <v>454</v>
      </c>
      <c r="C101" s="120" t="s">
        <v>578</v>
      </c>
      <c r="D101" s="151">
        <v>2023</v>
      </c>
      <c r="E101" s="151">
        <v>4</v>
      </c>
      <c r="F101" s="151">
        <v>30</v>
      </c>
      <c r="G101" s="151">
        <v>90</v>
      </c>
      <c r="H101" s="120" t="s">
        <v>506</v>
      </c>
      <c r="I101" s="153">
        <v>901000</v>
      </c>
      <c r="J101" s="124">
        <v>45219</v>
      </c>
      <c r="K101" s="153">
        <v>901000</v>
      </c>
      <c r="L101" s="153">
        <v>0</v>
      </c>
      <c r="M101" s="120" t="s">
        <v>85</v>
      </c>
      <c r="N101" s="126"/>
      <c r="O101" s="126"/>
    </row>
    <row r="102" spans="1:15" s="171" customFormat="1" ht="12.75">
      <c r="A102" s="120" t="s">
        <v>583</v>
      </c>
      <c r="B102" s="121" t="s">
        <v>412</v>
      </c>
      <c r="C102" s="120" t="s">
        <v>584</v>
      </c>
      <c r="D102" s="151">
        <v>2023</v>
      </c>
      <c r="E102" s="151">
        <v>4</v>
      </c>
      <c r="F102" s="151">
        <v>30</v>
      </c>
      <c r="G102" s="151">
        <v>23713</v>
      </c>
      <c r="H102" s="120" t="s">
        <v>538</v>
      </c>
      <c r="I102" s="153">
        <v>788000</v>
      </c>
      <c r="J102" s="124"/>
      <c r="K102" s="153"/>
      <c r="L102" s="153"/>
      <c r="M102" s="120" t="s">
        <v>85</v>
      </c>
      <c r="N102" s="126"/>
      <c r="O102" s="126" t="s">
        <v>85</v>
      </c>
    </row>
    <row r="103" spans="1:15" s="171" customFormat="1" ht="12.75">
      <c r="A103" s="120" t="s">
        <v>575</v>
      </c>
      <c r="B103" s="121" t="s">
        <v>415</v>
      </c>
      <c r="C103" s="120" t="s">
        <v>576</v>
      </c>
      <c r="D103" s="151">
        <v>2023</v>
      </c>
      <c r="E103" s="151">
        <v>4</v>
      </c>
      <c r="F103" s="151">
        <v>25</v>
      </c>
      <c r="G103" s="151">
        <v>3706</v>
      </c>
      <c r="H103" s="120" t="s">
        <v>475</v>
      </c>
      <c r="I103" s="153">
        <v>10215000</v>
      </c>
      <c r="J103" s="124"/>
      <c r="K103" s="153"/>
      <c r="L103" s="153"/>
      <c r="M103" s="120" t="s">
        <v>85</v>
      </c>
      <c r="N103" s="126"/>
      <c r="O103" s="126"/>
    </row>
    <row r="104" spans="1:15" s="171" customFormat="1" ht="39">
      <c r="A104" s="120" t="s">
        <v>129</v>
      </c>
      <c r="B104" s="121" t="s">
        <v>413</v>
      </c>
      <c r="C104" s="120" t="s">
        <v>580</v>
      </c>
      <c r="D104" s="151">
        <v>2023</v>
      </c>
      <c r="E104" s="151">
        <v>4</v>
      </c>
      <c r="F104" s="151">
        <v>20</v>
      </c>
      <c r="G104" s="151">
        <v>600000</v>
      </c>
      <c r="H104" s="120" t="s">
        <v>475</v>
      </c>
      <c r="I104" s="153">
        <v>24267000</v>
      </c>
      <c r="J104" s="124">
        <v>44848</v>
      </c>
      <c r="K104" s="153">
        <v>1110000</v>
      </c>
      <c r="L104" s="153"/>
      <c r="M104" s="120" t="s">
        <v>85</v>
      </c>
      <c r="N104" s="126"/>
      <c r="O104" s="126"/>
    </row>
    <row r="105" spans="1:15" s="171" customFormat="1" ht="26.25">
      <c r="A105" s="120" t="s">
        <v>215</v>
      </c>
      <c r="B105" s="121" t="s">
        <v>414</v>
      </c>
      <c r="C105" s="120" t="s">
        <v>579</v>
      </c>
      <c r="D105" s="151">
        <v>2023</v>
      </c>
      <c r="E105" s="151">
        <v>4</v>
      </c>
      <c r="F105" s="151">
        <v>15</v>
      </c>
      <c r="G105" s="151">
        <v>58983</v>
      </c>
      <c r="H105" s="120" t="s">
        <v>475</v>
      </c>
      <c r="I105" s="153">
        <v>2170000</v>
      </c>
      <c r="J105" s="124"/>
      <c r="K105" s="153"/>
      <c r="L105" s="153"/>
      <c r="M105" s="120" t="s">
        <v>85</v>
      </c>
      <c r="N105" s="126"/>
      <c r="O105" s="126"/>
    </row>
    <row r="106" spans="1:15" s="171" customFormat="1" ht="26.25">
      <c r="A106" s="120" t="s">
        <v>399</v>
      </c>
      <c r="B106" s="121" t="s">
        <v>400</v>
      </c>
      <c r="C106" s="120" t="s">
        <v>592</v>
      </c>
      <c r="D106" s="151">
        <v>2023</v>
      </c>
      <c r="E106" s="151">
        <v>3</v>
      </c>
      <c r="F106" s="151">
        <v>60</v>
      </c>
      <c r="G106" s="151">
        <v>947</v>
      </c>
      <c r="H106" s="120" t="s">
        <v>475</v>
      </c>
      <c r="I106" s="153">
        <v>7286000</v>
      </c>
      <c r="J106" s="124"/>
      <c r="K106" s="153"/>
      <c r="L106" s="153"/>
      <c r="M106" s="120" t="s">
        <v>85</v>
      </c>
      <c r="N106" s="126"/>
      <c r="O106" s="126"/>
    </row>
    <row r="107" spans="1:15" s="171" customFormat="1" ht="12.75">
      <c r="A107" s="120" t="s">
        <v>132</v>
      </c>
      <c r="B107" s="121" t="s">
        <v>406</v>
      </c>
      <c r="C107" s="120" t="s">
        <v>588</v>
      </c>
      <c r="D107" s="151">
        <v>2023</v>
      </c>
      <c r="E107" s="151">
        <v>3</v>
      </c>
      <c r="F107" s="151">
        <v>45</v>
      </c>
      <c r="G107" s="151">
        <v>12478</v>
      </c>
      <c r="H107" s="120" t="s">
        <v>475</v>
      </c>
      <c r="I107" s="153">
        <v>7937000</v>
      </c>
      <c r="J107" s="124"/>
      <c r="K107" s="153"/>
      <c r="L107" s="153"/>
      <c r="M107" s="120" t="s">
        <v>85</v>
      </c>
      <c r="N107" s="126"/>
      <c r="O107" s="126"/>
    </row>
    <row r="108" spans="1:15" s="171" customFormat="1" ht="12.75">
      <c r="A108" s="120" t="s">
        <v>594</v>
      </c>
      <c r="B108" s="121" t="s">
        <v>395</v>
      </c>
      <c r="C108" s="120" t="s">
        <v>595</v>
      </c>
      <c r="D108" s="151">
        <v>2023</v>
      </c>
      <c r="E108" s="151">
        <v>3</v>
      </c>
      <c r="F108" s="151">
        <v>45</v>
      </c>
      <c r="G108" s="151">
        <v>1264</v>
      </c>
      <c r="H108" s="120" t="s">
        <v>475</v>
      </c>
      <c r="I108" s="153">
        <v>4179000</v>
      </c>
      <c r="J108" s="124"/>
      <c r="K108" s="153"/>
      <c r="L108" s="153"/>
      <c r="M108" s="120" t="s">
        <v>85</v>
      </c>
      <c r="N108" s="126"/>
      <c r="O108" s="126"/>
    </row>
    <row r="109" spans="1:15" s="171" customFormat="1" ht="12.75">
      <c r="A109" s="120" t="s">
        <v>397</v>
      </c>
      <c r="B109" s="121" t="s">
        <v>398</v>
      </c>
      <c r="C109" s="120" t="s">
        <v>503</v>
      </c>
      <c r="D109" s="151">
        <v>2023</v>
      </c>
      <c r="E109" s="151">
        <v>3</v>
      </c>
      <c r="F109" s="151">
        <v>45</v>
      </c>
      <c r="G109" s="151">
        <v>4350</v>
      </c>
      <c r="H109" s="120" t="s">
        <v>506</v>
      </c>
      <c r="I109" s="153">
        <v>2350000</v>
      </c>
      <c r="J109" s="124">
        <v>45232</v>
      </c>
      <c r="K109" s="153">
        <v>2350000</v>
      </c>
      <c r="L109" s="153">
        <v>0</v>
      </c>
      <c r="M109" s="120" t="s">
        <v>85</v>
      </c>
      <c r="N109" s="126"/>
      <c r="O109" s="126"/>
    </row>
    <row r="110" spans="1:15" s="171" customFormat="1" ht="12.75">
      <c r="A110" s="120" t="s">
        <v>602</v>
      </c>
      <c r="B110" s="121" t="s">
        <v>387</v>
      </c>
      <c r="C110" s="120" t="s">
        <v>508</v>
      </c>
      <c r="D110" s="151">
        <v>2023</v>
      </c>
      <c r="E110" s="151">
        <v>3</v>
      </c>
      <c r="F110" s="151">
        <v>40</v>
      </c>
      <c r="G110" s="151">
        <v>502</v>
      </c>
      <c r="H110" s="120" t="s">
        <v>475</v>
      </c>
      <c r="I110" s="153">
        <v>451000</v>
      </c>
      <c r="J110" s="124"/>
      <c r="K110" s="153"/>
      <c r="L110" s="153"/>
      <c r="M110" s="120" t="s">
        <v>85</v>
      </c>
      <c r="N110" s="126"/>
      <c r="O110" s="126"/>
    </row>
    <row r="111" spans="1:15" s="171" customFormat="1" ht="26.25">
      <c r="A111" s="120" t="s">
        <v>404</v>
      </c>
      <c r="B111" s="121" t="s">
        <v>405</v>
      </c>
      <c r="C111" s="120" t="s">
        <v>589</v>
      </c>
      <c r="D111" s="151">
        <v>2023</v>
      </c>
      <c r="E111" s="151">
        <v>3</v>
      </c>
      <c r="F111" s="151">
        <v>40</v>
      </c>
      <c r="G111" s="151">
        <v>369</v>
      </c>
      <c r="H111" s="120" t="s">
        <v>475</v>
      </c>
      <c r="I111" s="153">
        <v>419000</v>
      </c>
      <c r="J111" s="124"/>
      <c r="K111" s="153"/>
      <c r="L111" s="153"/>
      <c r="M111" s="120" t="s">
        <v>85</v>
      </c>
      <c r="N111" s="126"/>
      <c r="O111" s="126"/>
    </row>
    <row r="112" spans="1:15" s="171" customFormat="1" ht="26.25">
      <c r="A112" s="120" t="s">
        <v>591</v>
      </c>
      <c r="B112" s="121" t="s">
        <v>401</v>
      </c>
      <c r="C112" s="120" t="s">
        <v>692</v>
      </c>
      <c r="D112" s="151">
        <v>2023</v>
      </c>
      <c r="E112" s="151">
        <v>3</v>
      </c>
      <c r="F112" s="151">
        <v>35</v>
      </c>
      <c r="G112" s="151">
        <v>52807</v>
      </c>
      <c r="H112" s="120" t="s">
        <v>475</v>
      </c>
      <c r="I112" s="153">
        <v>8362000</v>
      </c>
      <c r="J112" s="124"/>
      <c r="K112" s="153"/>
      <c r="L112" s="153"/>
      <c r="M112" s="120" t="s">
        <v>85</v>
      </c>
      <c r="N112" s="126"/>
      <c r="O112" s="126"/>
    </row>
    <row r="113" spans="1:15" s="171" customFormat="1" ht="26.25">
      <c r="A113" s="120" t="s">
        <v>452</v>
      </c>
      <c r="B113" s="121" t="s">
        <v>407</v>
      </c>
      <c r="C113" s="120" t="s">
        <v>587</v>
      </c>
      <c r="D113" s="151">
        <v>2023</v>
      </c>
      <c r="E113" s="151">
        <v>3</v>
      </c>
      <c r="F113" s="151">
        <v>35</v>
      </c>
      <c r="G113" s="151">
        <v>334</v>
      </c>
      <c r="H113" s="120" t="s">
        <v>475</v>
      </c>
      <c r="I113" s="153">
        <v>1206000</v>
      </c>
      <c r="J113" s="124"/>
      <c r="K113" s="153"/>
      <c r="L113" s="153"/>
      <c r="M113" s="120" t="s">
        <v>85</v>
      </c>
      <c r="N113" s="126"/>
      <c r="O113" s="126"/>
    </row>
    <row r="114" spans="1:15" s="171" customFormat="1" ht="12.75">
      <c r="A114" s="120" t="s">
        <v>390</v>
      </c>
      <c r="B114" s="121" t="s">
        <v>391</v>
      </c>
      <c r="C114" s="120" t="s">
        <v>601</v>
      </c>
      <c r="D114" s="151">
        <v>2023</v>
      </c>
      <c r="E114" s="151">
        <v>3</v>
      </c>
      <c r="F114" s="151">
        <v>30</v>
      </c>
      <c r="G114" s="151">
        <v>1039</v>
      </c>
      <c r="H114" s="120" t="s">
        <v>475</v>
      </c>
      <c r="I114" s="153">
        <v>2392000</v>
      </c>
      <c r="J114" s="124"/>
      <c r="K114" s="153"/>
      <c r="L114" s="153"/>
      <c r="M114" s="120" t="s">
        <v>85</v>
      </c>
      <c r="N114" s="126"/>
      <c r="O114" s="126"/>
    </row>
    <row r="115" spans="1:15" s="171" customFormat="1" ht="12.75">
      <c r="A115" s="120" t="s">
        <v>408</v>
      </c>
      <c r="B115" s="121" t="s">
        <v>409</v>
      </c>
      <c r="C115" s="120" t="s">
        <v>586</v>
      </c>
      <c r="D115" s="151">
        <v>2023</v>
      </c>
      <c r="E115" s="151">
        <v>3</v>
      </c>
      <c r="F115" s="151">
        <v>30</v>
      </c>
      <c r="G115" s="151">
        <v>2328</v>
      </c>
      <c r="H115" s="120" t="s">
        <v>475</v>
      </c>
      <c r="I115" s="153">
        <v>1728000</v>
      </c>
      <c r="J115" s="124"/>
      <c r="K115" s="153"/>
      <c r="L115" s="153"/>
      <c r="M115" s="120" t="s">
        <v>85</v>
      </c>
      <c r="N115" s="126"/>
      <c r="O115" s="126"/>
    </row>
    <row r="116" spans="1:15" s="171" customFormat="1" ht="26.25">
      <c r="A116" s="120" t="s">
        <v>599</v>
      </c>
      <c r="B116" s="121" t="s">
        <v>392</v>
      </c>
      <c r="C116" s="120" t="s">
        <v>600</v>
      </c>
      <c r="D116" s="151">
        <v>2023</v>
      </c>
      <c r="E116" s="151">
        <v>3</v>
      </c>
      <c r="F116" s="151">
        <v>30</v>
      </c>
      <c r="G116" s="151">
        <v>7935</v>
      </c>
      <c r="H116" s="120" t="s">
        <v>475</v>
      </c>
      <c r="I116" s="153">
        <v>1665000</v>
      </c>
      <c r="J116" s="124"/>
      <c r="K116" s="153"/>
      <c r="L116" s="153"/>
      <c r="M116" s="120" t="s">
        <v>85</v>
      </c>
      <c r="N116" s="126"/>
      <c r="O116" s="126"/>
    </row>
    <row r="117" spans="1:15" s="171" customFormat="1" ht="12.75">
      <c r="A117" s="120" t="s">
        <v>388</v>
      </c>
      <c r="B117" s="121" t="s">
        <v>389</v>
      </c>
      <c r="C117" s="120" t="s">
        <v>508</v>
      </c>
      <c r="D117" s="151">
        <v>2023</v>
      </c>
      <c r="E117" s="151">
        <v>3</v>
      </c>
      <c r="F117" s="151">
        <v>30</v>
      </c>
      <c r="G117" s="151">
        <v>266</v>
      </c>
      <c r="H117" s="120" t="s">
        <v>598</v>
      </c>
      <c r="I117" s="153">
        <v>340000</v>
      </c>
      <c r="J117" s="124"/>
      <c r="K117" s="153"/>
      <c r="L117" s="153"/>
      <c r="M117" s="120" t="s">
        <v>85</v>
      </c>
      <c r="N117" s="126"/>
      <c r="O117" s="126"/>
    </row>
    <row r="118" spans="1:15" s="171" customFormat="1" ht="12.75">
      <c r="A118" s="120" t="s">
        <v>687</v>
      </c>
      <c r="B118" s="121" t="s">
        <v>393</v>
      </c>
      <c r="C118" s="120" t="s">
        <v>597</v>
      </c>
      <c r="D118" s="151">
        <v>2023</v>
      </c>
      <c r="E118" s="151">
        <v>3</v>
      </c>
      <c r="F118" s="151">
        <v>25</v>
      </c>
      <c r="G118" s="151">
        <v>5415</v>
      </c>
      <c r="H118" s="120" t="s">
        <v>506</v>
      </c>
      <c r="I118" s="153">
        <v>2249000</v>
      </c>
      <c r="J118" s="124">
        <v>45289</v>
      </c>
      <c r="K118" s="153">
        <v>2249000</v>
      </c>
      <c r="L118" s="153">
        <v>0</v>
      </c>
      <c r="M118" s="120" t="s">
        <v>85</v>
      </c>
      <c r="N118" s="126"/>
      <c r="O118" s="126"/>
    </row>
    <row r="119" spans="1:15" s="171" customFormat="1" ht="39">
      <c r="A119" s="120" t="s">
        <v>402</v>
      </c>
      <c r="B119" s="121" t="s">
        <v>403</v>
      </c>
      <c r="C119" s="120" t="s">
        <v>590</v>
      </c>
      <c r="D119" s="151">
        <v>2023</v>
      </c>
      <c r="E119" s="151">
        <v>3</v>
      </c>
      <c r="F119" s="151">
        <v>20</v>
      </c>
      <c r="G119" s="151">
        <v>24195</v>
      </c>
      <c r="H119" s="120" t="s">
        <v>475</v>
      </c>
      <c r="I119" s="153">
        <v>21536000</v>
      </c>
      <c r="J119" s="124"/>
      <c r="K119" s="153"/>
      <c r="L119" s="153"/>
      <c r="M119" s="120" t="s">
        <v>85</v>
      </c>
      <c r="N119" s="126"/>
      <c r="O119" s="126"/>
    </row>
    <row r="120" spans="1:15" s="171" customFormat="1" ht="26.25">
      <c r="A120" s="120" t="s">
        <v>31</v>
      </c>
      <c r="B120" s="121" t="s">
        <v>396</v>
      </c>
      <c r="C120" s="120" t="s">
        <v>593</v>
      </c>
      <c r="D120" s="151">
        <v>2023</v>
      </c>
      <c r="E120" s="151">
        <v>3</v>
      </c>
      <c r="F120" s="151">
        <v>20</v>
      </c>
      <c r="G120" s="151">
        <v>15392</v>
      </c>
      <c r="H120" s="120" t="s">
        <v>506</v>
      </c>
      <c r="I120" s="153">
        <v>11616000</v>
      </c>
      <c r="J120" s="124">
        <v>45233</v>
      </c>
      <c r="K120" s="153">
        <v>8543000</v>
      </c>
      <c r="L120" s="153">
        <v>3073000</v>
      </c>
      <c r="M120" s="120" t="s">
        <v>85</v>
      </c>
      <c r="N120" s="126"/>
      <c r="O120" s="126"/>
    </row>
    <row r="121" spans="1:15" s="171" customFormat="1" ht="26.25">
      <c r="A121" s="120" t="s">
        <v>319</v>
      </c>
      <c r="B121" s="121" t="s">
        <v>394</v>
      </c>
      <c r="C121" s="120" t="s">
        <v>596</v>
      </c>
      <c r="D121" s="151">
        <v>2023</v>
      </c>
      <c r="E121" s="151">
        <v>3</v>
      </c>
      <c r="F121" s="151">
        <v>20</v>
      </c>
      <c r="G121" s="151">
        <v>70287</v>
      </c>
      <c r="H121" s="120" t="s">
        <v>506</v>
      </c>
      <c r="I121" s="153">
        <v>11103000</v>
      </c>
      <c r="J121" s="124">
        <v>45282</v>
      </c>
      <c r="K121" s="153">
        <v>11103000</v>
      </c>
      <c r="L121" s="153">
        <v>0</v>
      </c>
      <c r="M121" s="120" t="s">
        <v>85</v>
      </c>
      <c r="N121" s="126"/>
      <c r="O121" s="126"/>
    </row>
    <row r="122" spans="1:15" s="171" customFormat="1" ht="26.25">
      <c r="A122" s="120" t="s">
        <v>380</v>
      </c>
      <c r="B122" s="121" t="s">
        <v>607</v>
      </c>
      <c r="C122" s="120" t="s">
        <v>608</v>
      </c>
      <c r="D122" s="151">
        <v>2023</v>
      </c>
      <c r="E122" s="151">
        <v>2</v>
      </c>
      <c r="F122" s="151" t="s">
        <v>207</v>
      </c>
      <c r="G122" s="136">
        <v>3791</v>
      </c>
      <c r="H122" s="120" t="s">
        <v>475</v>
      </c>
      <c r="I122" s="153">
        <v>725000</v>
      </c>
      <c r="J122" s="124"/>
      <c r="K122" s="153"/>
      <c r="L122" s="153"/>
      <c r="M122" s="120" t="s">
        <v>85</v>
      </c>
      <c r="N122" s="126"/>
      <c r="O122" s="126"/>
    </row>
    <row r="123" spans="1:15" s="171" customFormat="1" ht="26.25">
      <c r="A123" s="120" t="s">
        <v>408</v>
      </c>
      <c r="B123" s="121" t="s">
        <v>605</v>
      </c>
      <c r="C123" s="120" t="s">
        <v>606</v>
      </c>
      <c r="D123" s="151">
        <v>2023</v>
      </c>
      <c r="E123" s="151">
        <v>2</v>
      </c>
      <c r="F123" s="151" t="s">
        <v>207</v>
      </c>
      <c r="G123" s="136">
        <v>2328</v>
      </c>
      <c r="H123" s="120" t="s">
        <v>475</v>
      </c>
      <c r="I123" s="153">
        <v>582420</v>
      </c>
      <c r="J123" s="124"/>
      <c r="K123" s="153"/>
      <c r="L123" s="153"/>
      <c r="M123" s="120" t="s">
        <v>85</v>
      </c>
      <c r="N123" s="126"/>
      <c r="O123" s="126"/>
    </row>
    <row r="124" spans="1:15" s="171" customFormat="1" ht="26.25">
      <c r="A124" s="120" t="s">
        <v>408</v>
      </c>
      <c r="B124" s="121" t="s">
        <v>603</v>
      </c>
      <c r="C124" s="120" t="s">
        <v>604</v>
      </c>
      <c r="D124" s="151">
        <v>2023</v>
      </c>
      <c r="E124" s="151">
        <v>2</v>
      </c>
      <c r="F124" s="151" t="s">
        <v>207</v>
      </c>
      <c r="G124" s="136">
        <v>2328</v>
      </c>
      <c r="H124" s="120" t="s">
        <v>475</v>
      </c>
      <c r="I124" s="153">
        <v>184420</v>
      </c>
      <c r="J124" s="124"/>
      <c r="K124" s="153"/>
      <c r="L124" s="153"/>
      <c r="M124" s="120" t="s">
        <v>85</v>
      </c>
      <c r="N124" s="126"/>
      <c r="O124" s="126"/>
    </row>
    <row r="125" spans="1:15" s="171" customFormat="1" ht="12.75">
      <c r="A125" s="120" t="s">
        <v>380</v>
      </c>
      <c r="B125" s="121" t="s">
        <v>381</v>
      </c>
      <c r="C125" s="120" t="s">
        <v>503</v>
      </c>
      <c r="D125" s="151">
        <v>2023</v>
      </c>
      <c r="E125" s="151">
        <v>2</v>
      </c>
      <c r="F125" s="151">
        <v>55</v>
      </c>
      <c r="G125" s="151">
        <v>3791</v>
      </c>
      <c r="H125" s="120" t="s">
        <v>475</v>
      </c>
      <c r="I125" s="153">
        <v>9267000</v>
      </c>
      <c r="J125" s="124"/>
      <c r="K125" s="153"/>
      <c r="L125" s="153"/>
      <c r="M125" s="120" t="s">
        <v>85</v>
      </c>
      <c r="N125" s="126"/>
      <c r="O125" s="126"/>
    </row>
    <row r="126" spans="1:15" s="171" customFormat="1" ht="26.25">
      <c r="A126" s="120" t="s">
        <v>609</v>
      </c>
      <c r="B126" s="121" t="s">
        <v>386</v>
      </c>
      <c r="C126" s="120" t="s">
        <v>610</v>
      </c>
      <c r="D126" s="151">
        <v>2023</v>
      </c>
      <c r="E126" s="151">
        <v>2</v>
      </c>
      <c r="F126" s="151">
        <v>55</v>
      </c>
      <c r="G126" s="151">
        <v>1442</v>
      </c>
      <c r="H126" s="120" t="s">
        <v>475</v>
      </c>
      <c r="I126" s="153">
        <v>2734000</v>
      </c>
      <c r="J126" s="124"/>
      <c r="K126" s="153"/>
      <c r="L126" s="153"/>
      <c r="M126" s="120" t="s">
        <v>85</v>
      </c>
      <c r="N126" s="126"/>
      <c r="O126" s="126"/>
    </row>
    <row r="127" spans="1:15" s="171" customFormat="1" ht="26.25">
      <c r="A127" s="120" t="s">
        <v>613</v>
      </c>
      <c r="B127" s="121" t="s">
        <v>379</v>
      </c>
      <c r="C127" s="120" t="s">
        <v>614</v>
      </c>
      <c r="D127" s="151">
        <v>2023</v>
      </c>
      <c r="E127" s="151">
        <v>2</v>
      </c>
      <c r="F127" s="151">
        <v>45</v>
      </c>
      <c r="G127" s="151">
        <v>7500</v>
      </c>
      <c r="H127" s="120" t="s">
        <v>506</v>
      </c>
      <c r="I127" s="153">
        <v>7750000</v>
      </c>
      <c r="J127" s="124">
        <v>45128</v>
      </c>
      <c r="K127" s="153">
        <v>7750000</v>
      </c>
      <c r="L127" s="153">
        <v>0</v>
      </c>
      <c r="M127" s="120" t="s">
        <v>85</v>
      </c>
      <c r="N127" s="126"/>
      <c r="O127" s="126"/>
    </row>
    <row r="128" spans="1:15" s="171" customFormat="1" ht="12.75">
      <c r="A128" s="120" t="s">
        <v>685</v>
      </c>
      <c r="B128" s="121" t="s">
        <v>385</v>
      </c>
      <c r="C128" s="120" t="s">
        <v>611</v>
      </c>
      <c r="D128" s="151">
        <v>2023</v>
      </c>
      <c r="E128" s="151">
        <v>2</v>
      </c>
      <c r="F128" s="151">
        <v>30</v>
      </c>
      <c r="G128" s="151">
        <v>11558</v>
      </c>
      <c r="H128" s="120" t="s">
        <v>475</v>
      </c>
      <c r="I128" s="153">
        <v>4555000</v>
      </c>
      <c r="J128" s="124"/>
      <c r="K128" s="153"/>
      <c r="L128" s="153"/>
      <c r="M128" s="120" t="s">
        <v>85</v>
      </c>
      <c r="N128" s="126"/>
      <c r="O128" s="126"/>
    </row>
    <row r="129" spans="1:15" s="171" customFormat="1" ht="12.75">
      <c r="A129" s="120" t="s">
        <v>384</v>
      </c>
      <c r="B129" s="121" t="s">
        <v>383</v>
      </c>
      <c r="C129" s="120" t="s">
        <v>503</v>
      </c>
      <c r="D129" s="151">
        <v>2023</v>
      </c>
      <c r="E129" s="151">
        <v>2</v>
      </c>
      <c r="F129" s="151">
        <v>30</v>
      </c>
      <c r="G129" s="151">
        <v>2731</v>
      </c>
      <c r="H129" s="120" t="s">
        <v>506</v>
      </c>
      <c r="I129" s="153">
        <v>859000</v>
      </c>
      <c r="J129" s="124">
        <v>45275</v>
      </c>
      <c r="K129" s="153">
        <v>859000</v>
      </c>
      <c r="L129" s="153">
        <v>0</v>
      </c>
      <c r="M129" s="120" t="s">
        <v>85</v>
      </c>
      <c r="N129" s="126"/>
      <c r="O129" s="126"/>
    </row>
    <row r="130" spans="1:15" s="171" customFormat="1" ht="26.25">
      <c r="A130" s="120" t="s">
        <v>377</v>
      </c>
      <c r="B130" s="121" t="s">
        <v>378</v>
      </c>
      <c r="C130" s="120" t="s">
        <v>615</v>
      </c>
      <c r="D130" s="151">
        <v>2023</v>
      </c>
      <c r="E130" s="151">
        <v>2</v>
      </c>
      <c r="F130" s="151">
        <v>25</v>
      </c>
      <c r="G130" s="151">
        <v>3629</v>
      </c>
      <c r="H130" s="120" t="s">
        <v>506</v>
      </c>
      <c r="I130" s="153">
        <v>30686000</v>
      </c>
      <c r="J130" s="124">
        <v>45289</v>
      </c>
      <c r="K130" s="153">
        <v>30686000</v>
      </c>
      <c r="L130" s="153">
        <v>0</v>
      </c>
      <c r="M130" s="120" t="s">
        <v>85</v>
      </c>
      <c r="N130" s="126"/>
      <c r="O130" s="126"/>
    </row>
    <row r="131" spans="1:15" s="171" customFormat="1" ht="26.25">
      <c r="A131" s="120" t="s">
        <v>721</v>
      </c>
      <c r="B131" s="121" t="s">
        <v>376</v>
      </c>
      <c r="C131" s="120" t="s">
        <v>612</v>
      </c>
      <c r="D131" s="151">
        <v>2023</v>
      </c>
      <c r="E131" s="151">
        <v>2</v>
      </c>
      <c r="F131" s="151">
        <v>20</v>
      </c>
      <c r="G131" s="151">
        <v>58983</v>
      </c>
      <c r="H131" s="120" t="s">
        <v>538</v>
      </c>
      <c r="I131" s="153">
        <v>1941000</v>
      </c>
      <c r="J131" s="124"/>
      <c r="K131" s="153"/>
      <c r="L131" s="153"/>
      <c r="M131" s="120" t="s">
        <v>85</v>
      </c>
      <c r="N131" s="126"/>
      <c r="O131" s="126" t="s">
        <v>85</v>
      </c>
    </row>
    <row r="132" spans="1:15" s="171" customFormat="1" ht="26.25">
      <c r="A132" s="120" t="s">
        <v>215</v>
      </c>
      <c r="B132" s="121" t="s">
        <v>382</v>
      </c>
      <c r="C132" s="120" t="s">
        <v>616</v>
      </c>
      <c r="D132" s="151">
        <v>2023</v>
      </c>
      <c r="E132" s="151">
        <v>2</v>
      </c>
      <c r="F132" s="151">
        <v>20</v>
      </c>
      <c r="G132" s="151">
        <v>58983</v>
      </c>
      <c r="H132" s="120" t="s">
        <v>475</v>
      </c>
      <c r="I132" s="153">
        <v>505000</v>
      </c>
      <c r="J132" s="124"/>
      <c r="K132" s="153"/>
      <c r="L132" s="153"/>
      <c r="M132" s="120" t="s">
        <v>85</v>
      </c>
      <c r="N132" s="126"/>
      <c r="O132" s="126"/>
    </row>
    <row r="133" spans="1:15" s="171" customFormat="1" ht="26.25">
      <c r="A133" s="120" t="s">
        <v>367</v>
      </c>
      <c r="B133" s="121" t="s">
        <v>368</v>
      </c>
      <c r="C133" s="120" t="s">
        <v>623</v>
      </c>
      <c r="D133" s="151">
        <v>2023</v>
      </c>
      <c r="E133" s="151">
        <v>1</v>
      </c>
      <c r="F133" s="151">
        <v>70</v>
      </c>
      <c r="G133" s="151">
        <v>277</v>
      </c>
      <c r="H133" s="123" t="s">
        <v>475</v>
      </c>
      <c r="I133" s="153">
        <v>1740000</v>
      </c>
      <c r="J133" s="124"/>
      <c r="K133" s="153"/>
      <c r="L133" s="153"/>
      <c r="M133" s="120" t="s">
        <v>85</v>
      </c>
      <c r="N133" s="126"/>
      <c r="O133" s="126"/>
    </row>
    <row r="134" spans="1:15" s="171" customFormat="1" ht="26.25">
      <c r="A134" s="120" t="s">
        <v>618</v>
      </c>
      <c r="B134" s="121" t="s">
        <v>372</v>
      </c>
      <c r="C134" s="120" t="s">
        <v>619</v>
      </c>
      <c r="D134" s="151">
        <v>2023</v>
      </c>
      <c r="E134" s="151">
        <v>1</v>
      </c>
      <c r="F134" s="151">
        <v>60</v>
      </c>
      <c r="G134" s="151">
        <v>2611</v>
      </c>
      <c r="H134" s="120" t="s">
        <v>475</v>
      </c>
      <c r="I134" s="153">
        <v>1507500</v>
      </c>
      <c r="J134" s="124"/>
      <c r="K134" s="153"/>
      <c r="L134" s="153"/>
      <c r="M134" s="120" t="s">
        <v>85</v>
      </c>
      <c r="N134" s="126"/>
      <c r="O134" s="126"/>
    </row>
    <row r="135" spans="1:15" s="171" customFormat="1" ht="12.75">
      <c r="A135" s="120" t="s">
        <v>621</v>
      </c>
      <c r="B135" s="121" t="s">
        <v>369</v>
      </c>
      <c r="C135" s="120" t="s">
        <v>622</v>
      </c>
      <c r="D135" s="151">
        <v>2023</v>
      </c>
      <c r="E135" s="151">
        <v>1</v>
      </c>
      <c r="F135" s="151">
        <v>55</v>
      </c>
      <c r="G135" s="151">
        <v>1678</v>
      </c>
      <c r="H135" s="120" t="s">
        <v>506</v>
      </c>
      <c r="I135" s="153">
        <v>8993000</v>
      </c>
      <c r="J135" s="124">
        <v>45275</v>
      </c>
      <c r="K135" s="153">
        <f>2000000+6993000</f>
        <v>8993000</v>
      </c>
      <c r="L135" s="153">
        <v>0</v>
      </c>
      <c r="M135" s="120" t="s">
        <v>85</v>
      </c>
      <c r="N135" s="126"/>
      <c r="O135" s="126"/>
    </row>
    <row r="136" spans="1:15" s="171" customFormat="1" ht="12.75">
      <c r="A136" s="120" t="s">
        <v>366</v>
      </c>
      <c r="B136" s="121" t="s">
        <v>375</v>
      </c>
      <c r="C136" s="120" t="s">
        <v>543</v>
      </c>
      <c r="D136" s="151">
        <v>2023</v>
      </c>
      <c r="E136" s="151">
        <v>1</v>
      </c>
      <c r="F136" s="151">
        <v>40</v>
      </c>
      <c r="G136" s="151">
        <v>267</v>
      </c>
      <c r="H136" s="120" t="s">
        <v>475</v>
      </c>
      <c r="I136" s="153">
        <v>400000</v>
      </c>
      <c r="J136" s="124"/>
      <c r="K136" s="153"/>
      <c r="L136" s="153"/>
      <c r="M136" s="120" t="s">
        <v>85</v>
      </c>
      <c r="N136" s="126"/>
      <c r="O136" s="126"/>
    </row>
    <row r="137" spans="1:15" s="171" customFormat="1" ht="26.25">
      <c r="A137" s="120" t="s">
        <v>370</v>
      </c>
      <c r="B137" s="121" t="s">
        <v>371</v>
      </c>
      <c r="C137" s="120" t="s">
        <v>620</v>
      </c>
      <c r="D137" s="151">
        <v>2023</v>
      </c>
      <c r="E137" s="151">
        <v>1</v>
      </c>
      <c r="F137" s="151">
        <v>30</v>
      </c>
      <c r="G137" s="151">
        <v>385</v>
      </c>
      <c r="H137" s="120" t="s">
        <v>475</v>
      </c>
      <c r="I137" s="153">
        <v>1781000</v>
      </c>
      <c r="J137" s="124"/>
      <c r="K137" s="153"/>
      <c r="L137" s="153"/>
      <c r="M137" s="120" t="s">
        <v>85</v>
      </c>
      <c r="N137" s="126"/>
      <c r="O137" s="126"/>
    </row>
    <row r="138" spans="1:15" s="171" customFormat="1" ht="12.75">
      <c r="A138" s="120" t="s">
        <v>373</v>
      </c>
      <c r="B138" s="121" t="s">
        <v>374</v>
      </c>
      <c r="C138" s="120" t="s">
        <v>617</v>
      </c>
      <c r="D138" s="151">
        <v>2023</v>
      </c>
      <c r="E138" s="151">
        <v>1</v>
      </c>
      <c r="F138" s="151">
        <v>30</v>
      </c>
      <c r="G138" s="151">
        <v>4527</v>
      </c>
      <c r="H138" s="120" t="s">
        <v>475</v>
      </c>
      <c r="I138" s="153">
        <v>905000</v>
      </c>
      <c r="J138" s="124"/>
      <c r="K138" s="153"/>
      <c r="L138" s="153"/>
      <c r="M138" s="120" t="s">
        <v>85</v>
      </c>
      <c r="N138" s="126"/>
      <c r="O138" s="126"/>
    </row>
    <row r="139" spans="1:15" s="171" customFormat="1" ht="26.25">
      <c r="A139" s="120" t="s">
        <v>364</v>
      </c>
      <c r="B139" s="121" t="s">
        <v>365</v>
      </c>
      <c r="C139" s="120" t="s">
        <v>624</v>
      </c>
      <c r="D139" s="151">
        <v>2023</v>
      </c>
      <c r="E139" s="151">
        <v>1</v>
      </c>
      <c r="F139" s="151">
        <v>25</v>
      </c>
      <c r="G139" s="151">
        <v>315</v>
      </c>
      <c r="H139" s="120" t="s">
        <v>598</v>
      </c>
      <c r="I139" s="153">
        <v>150000</v>
      </c>
      <c r="J139" s="124"/>
      <c r="K139" s="153"/>
      <c r="L139" s="153"/>
      <c r="M139" s="120" t="s">
        <v>85</v>
      </c>
      <c r="N139" s="126"/>
      <c r="O139" s="126"/>
    </row>
    <row r="140" spans="1:15" s="171" customFormat="1" ht="26.25">
      <c r="A140" s="120" t="s">
        <v>319</v>
      </c>
      <c r="B140" s="121" t="s">
        <v>625</v>
      </c>
      <c r="C140" s="120" t="s">
        <v>626</v>
      </c>
      <c r="D140" s="151">
        <v>2022</v>
      </c>
      <c r="E140" s="151">
        <v>4</v>
      </c>
      <c r="F140" s="151" t="s">
        <v>207</v>
      </c>
      <c r="G140" s="151">
        <v>67887</v>
      </c>
      <c r="H140" s="120" t="s">
        <v>475</v>
      </c>
      <c r="I140" s="153">
        <v>174600</v>
      </c>
      <c r="J140" s="124"/>
      <c r="K140" s="153"/>
      <c r="L140" s="153"/>
      <c r="M140" s="120" t="s">
        <v>85</v>
      </c>
      <c r="N140" s="126"/>
      <c r="O140" s="126"/>
    </row>
    <row r="141" spans="1:15" s="171" customFormat="1" ht="26.25">
      <c r="A141" s="120" t="s">
        <v>632</v>
      </c>
      <c r="B141" s="121" t="s">
        <v>350</v>
      </c>
      <c r="C141" s="120" t="s">
        <v>631</v>
      </c>
      <c r="D141" s="151">
        <v>2022</v>
      </c>
      <c r="E141" s="151">
        <v>4</v>
      </c>
      <c r="F141" s="151">
        <v>110</v>
      </c>
      <c r="G141" s="151">
        <v>764</v>
      </c>
      <c r="H141" s="120" t="s">
        <v>475</v>
      </c>
      <c r="I141" s="153">
        <v>682000</v>
      </c>
      <c r="J141" s="124"/>
      <c r="K141" s="153"/>
      <c r="L141" s="153"/>
      <c r="M141" s="120" t="s">
        <v>85</v>
      </c>
      <c r="N141" s="126"/>
      <c r="O141" s="126"/>
    </row>
    <row r="142" spans="1:15" s="171" customFormat="1" ht="12.75">
      <c r="A142" s="120" t="s">
        <v>362</v>
      </c>
      <c r="B142" s="121" t="s">
        <v>363</v>
      </c>
      <c r="C142" s="120" t="s">
        <v>595</v>
      </c>
      <c r="D142" s="151">
        <v>2022</v>
      </c>
      <c r="E142" s="151">
        <v>4</v>
      </c>
      <c r="F142" s="151">
        <v>70</v>
      </c>
      <c r="G142" s="151">
        <v>425</v>
      </c>
      <c r="H142" s="120" t="s">
        <v>475</v>
      </c>
      <c r="I142" s="153">
        <v>900000</v>
      </c>
      <c r="J142" s="124"/>
      <c r="K142" s="153"/>
      <c r="L142" s="153"/>
      <c r="M142" s="120" t="s">
        <v>85</v>
      </c>
      <c r="N142" s="126"/>
      <c r="O142" s="126"/>
    </row>
    <row r="143" spans="1:15" s="171" customFormat="1" ht="12.75">
      <c r="A143" s="120" t="s">
        <v>317</v>
      </c>
      <c r="B143" s="121" t="s">
        <v>354</v>
      </c>
      <c r="C143" s="120" t="s">
        <v>503</v>
      </c>
      <c r="D143" s="151">
        <v>2022</v>
      </c>
      <c r="E143" s="151">
        <v>4</v>
      </c>
      <c r="F143" s="151">
        <v>60</v>
      </c>
      <c r="G143" s="151">
        <v>224</v>
      </c>
      <c r="H143" s="120" t="s">
        <v>475</v>
      </c>
      <c r="I143" s="153">
        <v>1000000</v>
      </c>
      <c r="J143" s="124"/>
      <c r="K143" s="153"/>
      <c r="L143" s="153"/>
      <c r="M143" s="120" t="s">
        <v>85</v>
      </c>
      <c r="N143" s="126"/>
      <c r="O143" s="126"/>
    </row>
    <row r="144" spans="1:15" s="171" customFormat="1" ht="26.25">
      <c r="A144" s="120" t="s">
        <v>629</v>
      </c>
      <c r="B144" s="121" t="s">
        <v>356</v>
      </c>
      <c r="C144" s="120" t="s">
        <v>630</v>
      </c>
      <c r="D144" s="151">
        <v>2022</v>
      </c>
      <c r="E144" s="151">
        <v>4</v>
      </c>
      <c r="F144" s="151">
        <v>55</v>
      </c>
      <c r="G144" s="151">
        <v>130</v>
      </c>
      <c r="H144" s="120" t="s">
        <v>475</v>
      </c>
      <c r="I144" s="153">
        <v>2185000</v>
      </c>
      <c r="J144" s="124"/>
      <c r="K144" s="153"/>
      <c r="L144" s="153"/>
      <c r="M144" s="120" t="s">
        <v>85</v>
      </c>
      <c r="N144" s="126"/>
      <c r="O144" s="126"/>
    </row>
    <row r="145" spans="1:15" s="171" customFormat="1" ht="39">
      <c r="A145" s="120" t="s">
        <v>359</v>
      </c>
      <c r="B145" s="121" t="s">
        <v>360</v>
      </c>
      <c r="C145" s="120" t="s">
        <v>627</v>
      </c>
      <c r="D145" s="151">
        <v>2022</v>
      </c>
      <c r="E145" s="151">
        <v>4</v>
      </c>
      <c r="F145" s="151">
        <v>50</v>
      </c>
      <c r="G145" s="151">
        <v>6297</v>
      </c>
      <c r="H145" s="120" t="s">
        <v>475</v>
      </c>
      <c r="I145" s="153">
        <v>5278000</v>
      </c>
      <c r="J145" s="124"/>
      <c r="K145" s="153"/>
      <c r="L145" s="153"/>
      <c r="M145" s="120" t="s">
        <v>85</v>
      </c>
      <c r="N145" s="126"/>
      <c r="O145" s="126"/>
    </row>
    <row r="146" spans="1:15" s="171" customFormat="1" ht="12.75">
      <c r="A146" s="120" t="s">
        <v>351</v>
      </c>
      <c r="B146" s="121" t="s">
        <v>352</v>
      </c>
      <c r="C146" s="120" t="s">
        <v>503</v>
      </c>
      <c r="D146" s="151">
        <v>2022</v>
      </c>
      <c r="E146" s="151">
        <v>4</v>
      </c>
      <c r="F146" s="151">
        <v>50</v>
      </c>
      <c r="G146" s="151">
        <v>269</v>
      </c>
      <c r="H146" s="120" t="s">
        <v>475</v>
      </c>
      <c r="I146" s="153">
        <v>304000</v>
      </c>
      <c r="J146" s="124"/>
      <c r="K146" s="153"/>
      <c r="L146" s="153"/>
      <c r="M146" s="120" t="s">
        <v>85</v>
      </c>
      <c r="N146" s="126"/>
      <c r="O146" s="126"/>
    </row>
    <row r="147" spans="1:15" s="171" customFormat="1" ht="12.75">
      <c r="A147" s="120" t="s">
        <v>124</v>
      </c>
      <c r="B147" s="121" t="s">
        <v>353</v>
      </c>
      <c r="C147" s="120" t="s">
        <v>503</v>
      </c>
      <c r="D147" s="151">
        <v>2022</v>
      </c>
      <c r="E147" s="151">
        <v>4</v>
      </c>
      <c r="F147" s="151">
        <v>45</v>
      </c>
      <c r="G147" s="151">
        <v>344</v>
      </c>
      <c r="H147" s="120" t="s">
        <v>475</v>
      </c>
      <c r="I147" s="153">
        <v>12695000</v>
      </c>
      <c r="J147" s="124"/>
      <c r="K147" s="153"/>
      <c r="L147" s="153"/>
      <c r="M147" s="120" t="s">
        <v>85</v>
      </c>
      <c r="N147" s="126"/>
      <c r="O147" s="126"/>
    </row>
    <row r="148" spans="1:15" s="171" customFormat="1" ht="26.25">
      <c r="A148" s="120" t="s">
        <v>453</v>
      </c>
      <c r="B148" s="121" t="s">
        <v>355</v>
      </c>
      <c r="C148" s="120" t="s">
        <v>631</v>
      </c>
      <c r="D148" s="151">
        <v>2022</v>
      </c>
      <c r="E148" s="151">
        <v>4</v>
      </c>
      <c r="F148" s="151">
        <v>40</v>
      </c>
      <c r="G148" s="151">
        <v>387</v>
      </c>
      <c r="H148" s="120" t="s">
        <v>475</v>
      </c>
      <c r="I148" s="153">
        <v>305420</v>
      </c>
      <c r="J148" s="124"/>
      <c r="K148" s="153"/>
      <c r="L148" s="153"/>
      <c r="M148" s="120" t="s">
        <v>85</v>
      </c>
      <c r="N148" s="126"/>
      <c r="O148" s="126"/>
    </row>
    <row r="149" spans="1:15" s="171" customFormat="1" ht="39">
      <c r="A149" s="120" t="s">
        <v>357</v>
      </c>
      <c r="B149" s="121" t="s">
        <v>358</v>
      </c>
      <c r="C149" s="120" t="s">
        <v>628</v>
      </c>
      <c r="D149" s="151">
        <v>2022</v>
      </c>
      <c r="E149" s="151">
        <v>4</v>
      </c>
      <c r="F149" s="151">
        <v>30</v>
      </c>
      <c r="G149" s="151">
        <v>18838</v>
      </c>
      <c r="H149" s="120" t="s">
        <v>475</v>
      </c>
      <c r="I149" s="153">
        <v>12600000</v>
      </c>
      <c r="J149" s="124"/>
      <c r="K149" s="153"/>
      <c r="L149" s="153"/>
      <c r="M149" s="120" t="s">
        <v>85</v>
      </c>
      <c r="N149" s="126"/>
      <c r="O149" s="126"/>
    </row>
    <row r="150" spans="1:15" s="171" customFormat="1" ht="12.75">
      <c r="A150" s="120" t="s">
        <v>110</v>
      </c>
      <c r="B150" s="121" t="s">
        <v>361</v>
      </c>
      <c r="C150" s="120" t="s">
        <v>503</v>
      </c>
      <c r="D150" s="151">
        <v>2022</v>
      </c>
      <c r="E150" s="151">
        <v>4</v>
      </c>
      <c r="F150" s="151">
        <v>25</v>
      </c>
      <c r="G150" s="151">
        <v>6267</v>
      </c>
      <c r="H150" s="120" t="s">
        <v>475</v>
      </c>
      <c r="I150" s="153">
        <v>2825000</v>
      </c>
      <c r="J150" s="124"/>
      <c r="K150" s="153"/>
      <c r="L150" s="153"/>
      <c r="M150" s="120" t="s">
        <v>85</v>
      </c>
      <c r="N150" s="126"/>
      <c r="O150" s="126"/>
    </row>
    <row r="151" spans="1:15" s="171" customFormat="1" ht="26.25">
      <c r="A151" s="120" t="s">
        <v>255</v>
      </c>
      <c r="B151" s="121" t="s">
        <v>349</v>
      </c>
      <c r="C151" s="120" t="s">
        <v>794</v>
      </c>
      <c r="D151" s="151">
        <v>2022</v>
      </c>
      <c r="E151" s="151">
        <v>3</v>
      </c>
      <c r="F151" s="151">
        <v>45</v>
      </c>
      <c r="G151" s="151">
        <v>1690</v>
      </c>
      <c r="H151" s="120" t="s">
        <v>475</v>
      </c>
      <c r="I151" s="153">
        <v>7068000</v>
      </c>
      <c r="J151" s="124"/>
      <c r="K151" s="153"/>
      <c r="L151" s="153"/>
      <c r="M151" s="120" t="s">
        <v>85</v>
      </c>
      <c r="N151" s="126"/>
      <c r="O151" s="126"/>
    </row>
    <row r="152" spans="1:15" s="171" customFormat="1" ht="26.25">
      <c r="A152" s="120" t="s">
        <v>215</v>
      </c>
      <c r="B152" s="121" t="s">
        <v>633</v>
      </c>
      <c r="C152" s="120" t="s">
        <v>634</v>
      </c>
      <c r="D152" s="151">
        <v>2022</v>
      </c>
      <c r="E152" s="151">
        <v>3</v>
      </c>
      <c r="F152" s="151">
        <v>35</v>
      </c>
      <c r="G152" s="151">
        <v>58983</v>
      </c>
      <c r="H152" s="120" t="s">
        <v>475</v>
      </c>
      <c r="I152" s="153">
        <v>15565000</v>
      </c>
      <c r="J152" s="124"/>
      <c r="K152" s="153"/>
      <c r="L152" s="153"/>
      <c r="M152" s="120" t="s">
        <v>85</v>
      </c>
      <c r="N152" s="126"/>
      <c r="O152" s="126"/>
    </row>
    <row r="153" spans="1:15" s="171" customFormat="1" ht="26.25">
      <c r="A153" s="120" t="s">
        <v>347</v>
      </c>
      <c r="B153" s="121" t="s">
        <v>348</v>
      </c>
      <c r="C153" s="120" t="s">
        <v>635</v>
      </c>
      <c r="D153" s="151">
        <v>2022</v>
      </c>
      <c r="E153" s="151">
        <v>2</v>
      </c>
      <c r="F153" s="151">
        <v>95</v>
      </c>
      <c r="G153" s="151">
        <v>77</v>
      </c>
      <c r="H153" s="120" t="s">
        <v>475</v>
      </c>
      <c r="I153" s="153">
        <v>108000</v>
      </c>
      <c r="J153" s="124"/>
      <c r="K153" s="153"/>
      <c r="L153" s="153"/>
      <c r="M153" s="120" t="s">
        <v>85</v>
      </c>
      <c r="N153" s="126"/>
      <c r="O153" s="126"/>
    </row>
    <row r="154" spans="1:15" s="171" customFormat="1" ht="26.25">
      <c r="A154" s="120" t="s">
        <v>637</v>
      </c>
      <c r="B154" s="121" t="s">
        <v>343</v>
      </c>
      <c r="C154" s="120" t="s">
        <v>638</v>
      </c>
      <c r="D154" s="151">
        <v>2022</v>
      </c>
      <c r="E154" s="151">
        <v>2</v>
      </c>
      <c r="F154" s="151">
        <v>40</v>
      </c>
      <c r="G154" s="151">
        <v>1057</v>
      </c>
      <c r="H154" s="120" t="s">
        <v>475</v>
      </c>
      <c r="I154" s="153">
        <v>765000</v>
      </c>
      <c r="J154" s="124"/>
      <c r="K154" s="153"/>
      <c r="L154" s="153"/>
      <c r="M154" s="120" t="s">
        <v>85</v>
      </c>
      <c r="N154" s="126"/>
      <c r="O154" s="126"/>
    </row>
    <row r="155" spans="1:15" s="171" customFormat="1" ht="26.25">
      <c r="A155" s="120" t="s">
        <v>156</v>
      </c>
      <c r="B155" s="121" t="s">
        <v>344</v>
      </c>
      <c r="C155" s="120" t="s">
        <v>631</v>
      </c>
      <c r="D155" s="151">
        <v>2022</v>
      </c>
      <c r="E155" s="151">
        <v>2</v>
      </c>
      <c r="F155" s="151">
        <v>30</v>
      </c>
      <c r="G155" s="151">
        <v>2254</v>
      </c>
      <c r="H155" s="120" t="s">
        <v>506</v>
      </c>
      <c r="I155" s="153">
        <v>2655000</v>
      </c>
      <c r="J155" s="124">
        <v>45205</v>
      </c>
      <c r="K155" s="153">
        <v>2655000</v>
      </c>
      <c r="L155" s="153">
        <v>0</v>
      </c>
      <c r="M155" s="120" t="s">
        <v>85</v>
      </c>
      <c r="N155" s="126"/>
      <c r="O155" s="126"/>
    </row>
    <row r="156" spans="1:15" s="171" customFormat="1" ht="26.25">
      <c r="A156" s="120" t="s">
        <v>345</v>
      </c>
      <c r="B156" s="121" t="s">
        <v>346</v>
      </c>
      <c r="C156" s="120" t="s">
        <v>636</v>
      </c>
      <c r="D156" s="151">
        <v>2022</v>
      </c>
      <c r="E156" s="151">
        <v>2</v>
      </c>
      <c r="F156" s="151">
        <v>30</v>
      </c>
      <c r="G156" s="151">
        <v>1663</v>
      </c>
      <c r="H156" s="120" t="s">
        <v>475</v>
      </c>
      <c r="I156" s="153">
        <v>259000</v>
      </c>
      <c r="J156" s="124"/>
      <c r="K156" s="153"/>
      <c r="L156" s="153"/>
      <c r="M156" s="120" t="s">
        <v>85</v>
      </c>
      <c r="N156" s="126"/>
      <c r="O156" s="126"/>
    </row>
    <row r="157" spans="1:15" s="171" customFormat="1" ht="26.25">
      <c r="A157" s="120" t="s">
        <v>341</v>
      </c>
      <c r="B157" s="121" t="s">
        <v>639</v>
      </c>
      <c r="C157" s="120" t="s">
        <v>640</v>
      </c>
      <c r="D157" s="151">
        <v>2022</v>
      </c>
      <c r="E157" s="151">
        <v>1</v>
      </c>
      <c r="F157" s="151" t="s">
        <v>207</v>
      </c>
      <c r="G157" s="136">
        <v>486</v>
      </c>
      <c r="H157" s="120" t="s">
        <v>475</v>
      </c>
      <c r="I157" s="153">
        <v>200000</v>
      </c>
      <c r="J157" s="124"/>
      <c r="K157" s="153"/>
      <c r="L157" s="153"/>
      <c r="M157" s="120" t="s">
        <v>85</v>
      </c>
      <c r="N157" s="126"/>
      <c r="O157" s="126"/>
    </row>
    <row r="158" spans="1:15" s="171" customFormat="1" ht="12.75">
      <c r="A158" s="120" t="s">
        <v>641</v>
      </c>
      <c r="B158" s="121" t="s">
        <v>342</v>
      </c>
      <c r="C158" s="120" t="s">
        <v>503</v>
      </c>
      <c r="D158" s="151">
        <v>2022</v>
      </c>
      <c r="E158" s="151">
        <v>1</v>
      </c>
      <c r="F158" s="151">
        <v>70</v>
      </c>
      <c r="G158" s="151">
        <v>121</v>
      </c>
      <c r="H158" s="120" t="s">
        <v>506</v>
      </c>
      <c r="I158" s="153">
        <v>621000</v>
      </c>
      <c r="J158" s="124">
        <v>45198</v>
      </c>
      <c r="K158" s="153">
        <v>621000</v>
      </c>
      <c r="L158" s="153">
        <v>0</v>
      </c>
      <c r="M158" s="120" t="s">
        <v>85</v>
      </c>
      <c r="N158" s="126"/>
      <c r="O158" s="126"/>
    </row>
    <row r="159" spans="1:15" s="171" customFormat="1" ht="12.75">
      <c r="A159" s="120" t="s">
        <v>339</v>
      </c>
      <c r="B159" s="121" t="s">
        <v>642</v>
      </c>
      <c r="C159" s="120" t="s">
        <v>503</v>
      </c>
      <c r="D159" s="151">
        <v>2022</v>
      </c>
      <c r="E159" s="151">
        <v>1</v>
      </c>
      <c r="F159" s="151">
        <v>35</v>
      </c>
      <c r="G159" s="151">
        <v>223</v>
      </c>
      <c r="H159" s="120" t="s">
        <v>475</v>
      </c>
      <c r="I159" s="153">
        <v>1499000</v>
      </c>
      <c r="J159" s="124"/>
      <c r="K159" s="153"/>
      <c r="L159" s="153"/>
      <c r="M159" s="120" t="s">
        <v>85</v>
      </c>
      <c r="N159" s="126"/>
      <c r="O159" s="126"/>
    </row>
    <row r="160" spans="1:15" s="171" customFormat="1" ht="26.25">
      <c r="A160" s="120" t="s">
        <v>107</v>
      </c>
      <c r="B160" s="121" t="s">
        <v>645</v>
      </c>
      <c r="C160" s="120" t="s">
        <v>646</v>
      </c>
      <c r="D160" s="151">
        <v>2021</v>
      </c>
      <c r="E160" s="151">
        <v>4</v>
      </c>
      <c r="F160" s="151" t="s">
        <v>207</v>
      </c>
      <c r="G160" s="136">
        <v>842</v>
      </c>
      <c r="H160" s="120" t="s">
        <v>475</v>
      </c>
      <c r="I160" s="153">
        <v>371094</v>
      </c>
      <c r="J160" s="124"/>
      <c r="K160" s="153"/>
      <c r="L160" s="153"/>
      <c r="M160" s="120" t="s">
        <v>85</v>
      </c>
      <c r="N160" s="126"/>
      <c r="O160" s="126"/>
    </row>
    <row r="161" spans="1:15" s="171" customFormat="1" ht="26.25">
      <c r="A161" s="120" t="s">
        <v>338</v>
      </c>
      <c r="B161" s="121" t="s">
        <v>643</v>
      </c>
      <c r="C161" s="120" t="s">
        <v>644</v>
      </c>
      <c r="D161" s="151">
        <v>2021</v>
      </c>
      <c r="E161" s="151">
        <v>4</v>
      </c>
      <c r="F161" s="151" t="s">
        <v>207</v>
      </c>
      <c r="G161" s="136">
        <v>798</v>
      </c>
      <c r="H161" s="120" t="s">
        <v>475</v>
      </c>
      <c r="I161" s="153">
        <v>30000</v>
      </c>
      <c r="J161" s="124"/>
      <c r="K161" s="153"/>
      <c r="L161" s="153"/>
      <c r="M161" s="120" t="s">
        <v>85</v>
      </c>
      <c r="N161" s="126"/>
      <c r="O161" s="126"/>
    </row>
    <row r="162" spans="1:15" s="171" customFormat="1" ht="12.75">
      <c r="A162" s="120" t="s">
        <v>647</v>
      </c>
      <c r="B162" s="121" t="s">
        <v>648</v>
      </c>
      <c r="C162" s="120" t="s">
        <v>508</v>
      </c>
      <c r="D162" s="151">
        <v>2021</v>
      </c>
      <c r="E162" s="151">
        <v>4</v>
      </c>
      <c r="F162" s="151">
        <v>40</v>
      </c>
      <c r="G162" s="151">
        <v>1569</v>
      </c>
      <c r="H162" s="120" t="s">
        <v>475</v>
      </c>
      <c r="I162" s="153">
        <v>1454000</v>
      </c>
      <c r="J162" s="124"/>
      <c r="K162" s="153"/>
      <c r="L162" s="153"/>
      <c r="M162" s="120" t="s">
        <v>85</v>
      </c>
      <c r="N162" s="126"/>
      <c r="O162" s="126"/>
    </row>
    <row r="163" spans="1:15" s="171" customFormat="1" ht="13.5">
      <c r="A163" s="120" t="s">
        <v>169</v>
      </c>
      <c r="B163" s="121" t="s">
        <v>649</v>
      </c>
      <c r="C163" s="120" t="s">
        <v>650</v>
      </c>
      <c r="D163" s="151">
        <v>2021</v>
      </c>
      <c r="E163" s="151">
        <v>3</v>
      </c>
      <c r="F163" s="151" t="s">
        <v>207</v>
      </c>
      <c r="G163" s="136">
        <v>1146</v>
      </c>
      <c r="H163" s="120" t="s">
        <v>475</v>
      </c>
      <c r="I163" s="153">
        <v>150000</v>
      </c>
      <c r="J163" s="124"/>
      <c r="K163" s="153"/>
      <c r="L163" s="153"/>
      <c r="M163" s="120" t="s">
        <v>85</v>
      </c>
      <c r="N163" s="126"/>
      <c r="O163" s="126"/>
    </row>
    <row r="164" spans="1:15" s="171" customFormat="1" ht="26.25">
      <c r="A164" s="120" t="s">
        <v>653</v>
      </c>
      <c r="B164" s="121" t="s">
        <v>337</v>
      </c>
      <c r="C164" s="120" t="s">
        <v>654</v>
      </c>
      <c r="D164" s="151">
        <v>2021</v>
      </c>
      <c r="E164" s="151">
        <v>3</v>
      </c>
      <c r="F164" s="151">
        <v>45</v>
      </c>
      <c r="G164" s="151">
        <v>683</v>
      </c>
      <c r="H164" s="120" t="s">
        <v>506</v>
      </c>
      <c r="I164" s="153">
        <v>5676000</v>
      </c>
      <c r="J164" s="124">
        <v>45212</v>
      </c>
      <c r="K164" s="153">
        <f>376000+5300000</f>
        <v>5676000</v>
      </c>
      <c r="L164" s="153">
        <v>0</v>
      </c>
      <c r="M164" s="120" t="s">
        <v>85</v>
      </c>
      <c r="N164" s="126"/>
      <c r="O164" s="126"/>
    </row>
    <row r="165" spans="1:15" s="171" customFormat="1" ht="12.75">
      <c r="A165" s="120" t="s">
        <v>651</v>
      </c>
      <c r="B165" s="121" t="s">
        <v>652</v>
      </c>
      <c r="C165" s="120" t="s">
        <v>503</v>
      </c>
      <c r="D165" s="151">
        <v>2021</v>
      </c>
      <c r="E165" s="151">
        <v>3</v>
      </c>
      <c r="F165" s="151">
        <v>25</v>
      </c>
      <c r="G165" s="151">
        <v>2877</v>
      </c>
      <c r="H165" s="120" t="s">
        <v>475</v>
      </c>
      <c r="I165" s="153">
        <v>1373000</v>
      </c>
      <c r="J165" s="124"/>
      <c r="K165" s="153"/>
      <c r="L165" s="153"/>
      <c r="M165" s="120" t="s">
        <v>85</v>
      </c>
      <c r="N165" s="126"/>
      <c r="O165" s="126"/>
    </row>
    <row r="166" spans="1:15" s="171" customFormat="1" ht="26.25">
      <c r="A166" s="120" t="s">
        <v>28</v>
      </c>
      <c r="B166" s="121" t="s">
        <v>336</v>
      </c>
      <c r="C166" s="120" t="s">
        <v>655</v>
      </c>
      <c r="D166" s="151">
        <v>2021</v>
      </c>
      <c r="E166" s="151">
        <v>2</v>
      </c>
      <c r="F166" s="151">
        <v>40</v>
      </c>
      <c r="G166" s="151">
        <v>4058</v>
      </c>
      <c r="H166" s="120" t="s">
        <v>475</v>
      </c>
      <c r="I166" s="153">
        <v>415000</v>
      </c>
      <c r="J166" s="124"/>
      <c r="K166" s="153"/>
      <c r="L166" s="153"/>
      <c r="M166" s="120" t="s">
        <v>85</v>
      </c>
      <c r="N166" s="126"/>
      <c r="O166" s="126"/>
    </row>
    <row r="167" spans="1:15" s="171" customFormat="1" ht="26.25">
      <c r="A167" s="120" t="s">
        <v>778</v>
      </c>
      <c r="B167" s="121" t="s">
        <v>335</v>
      </c>
      <c r="C167" s="120" t="s">
        <v>656</v>
      </c>
      <c r="D167" s="151">
        <v>2021</v>
      </c>
      <c r="E167" s="151">
        <v>2</v>
      </c>
      <c r="F167" s="151">
        <v>35</v>
      </c>
      <c r="G167" s="151">
        <v>58965</v>
      </c>
      <c r="H167" s="120" t="s">
        <v>538</v>
      </c>
      <c r="I167" s="153">
        <v>12161000</v>
      </c>
      <c r="J167" s="124">
        <v>45105</v>
      </c>
      <c r="K167" s="153">
        <v>12161000</v>
      </c>
      <c r="L167" s="153">
        <v>0</v>
      </c>
      <c r="M167" s="120" t="s">
        <v>85</v>
      </c>
      <c r="N167" s="126" t="s">
        <v>85</v>
      </c>
      <c r="O167" s="126"/>
    </row>
    <row r="168" spans="1:15" s="171" customFormat="1" ht="12.75">
      <c r="A168" s="120" t="s">
        <v>332</v>
      </c>
      <c r="B168" s="121" t="s">
        <v>333</v>
      </c>
      <c r="C168" s="120" t="s">
        <v>658</v>
      </c>
      <c r="D168" s="151">
        <v>2021</v>
      </c>
      <c r="E168" s="151">
        <v>1</v>
      </c>
      <c r="F168" s="151">
        <v>40</v>
      </c>
      <c r="G168" s="151">
        <v>1670</v>
      </c>
      <c r="H168" s="120" t="s">
        <v>475</v>
      </c>
      <c r="I168" s="153">
        <v>4398000</v>
      </c>
      <c r="J168" s="124"/>
      <c r="K168" s="153"/>
      <c r="L168" s="153"/>
      <c r="M168" s="120" t="s">
        <v>85</v>
      </c>
      <c r="N168" s="126"/>
      <c r="O168" s="126"/>
    </row>
    <row r="169" spans="1:15" s="171" customFormat="1" ht="12.75">
      <c r="A169" s="120" t="s">
        <v>331</v>
      </c>
      <c r="B169" s="121" t="s">
        <v>334</v>
      </c>
      <c r="C169" s="120" t="s">
        <v>657</v>
      </c>
      <c r="D169" s="151">
        <v>2021</v>
      </c>
      <c r="E169" s="151">
        <v>1</v>
      </c>
      <c r="F169" s="151">
        <v>35</v>
      </c>
      <c r="G169" s="151">
        <v>17945</v>
      </c>
      <c r="H169" s="120" t="s">
        <v>598</v>
      </c>
      <c r="I169" s="153">
        <v>3567750</v>
      </c>
      <c r="J169" s="124"/>
      <c r="K169" s="153"/>
      <c r="L169" s="153"/>
      <c r="M169" s="120" t="s">
        <v>85</v>
      </c>
      <c r="N169" s="126"/>
      <c r="O169" s="126"/>
    </row>
    <row r="170" spans="1:15" s="171" customFormat="1" ht="39">
      <c r="A170" s="120" t="s">
        <v>660</v>
      </c>
      <c r="B170" s="121" t="s">
        <v>329</v>
      </c>
      <c r="C170" s="120" t="s">
        <v>661</v>
      </c>
      <c r="D170" s="151">
        <v>2020</v>
      </c>
      <c r="E170" s="151">
        <v>4</v>
      </c>
      <c r="F170" s="151">
        <v>55</v>
      </c>
      <c r="G170" s="136">
        <v>837</v>
      </c>
      <c r="H170" s="120" t="s">
        <v>475</v>
      </c>
      <c r="I170" s="153">
        <v>685000</v>
      </c>
      <c r="J170" s="124"/>
      <c r="K170" s="153"/>
      <c r="L170" s="153"/>
      <c r="M170" s="120" t="s">
        <v>85</v>
      </c>
      <c r="N170" s="126"/>
      <c r="O170" s="126"/>
    </row>
    <row r="171" spans="1:15" s="171" customFormat="1" ht="13.5">
      <c r="A171" s="120" t="s">
        <v>327</v>
      </c>
      <c r="B171" s="121" t="s">
        <v>328</v>
      </c>
      <c r="C171" s="120" t="s">
        <v>659</v>
      </c>
      <c r="D171" s="151">
        <v>2020</v>
      </c>
      <c r="E171" s="151">
        <v>4</v>
      </c>
      <c r="F171" s="151">
        <v>55</v>
      </c>
      <c r="G171" s="136">
        <v>201</v>
      </c>
      <c r="H171" s="120" t="s">
        <v>475</v>
      </c>
      <c r="I171" s="153">
        <v>422100</v>
      </c>
      <c r="J171" s="124"/>
      <c r="K171" s="153"/>
      <c r="L171" s="153"/>
      <c r="M171" s="120" t="s">
        <v>85</v>
      </c>
      <c r="N171" s="126"/>
      <c r="O171" s="126"/>
    </row>
    <row r="172" spans="1:15" s="171" customFormat="1" ht="12.75">
      <c r="A172" s="120" t="s">
        <v>314</v>
      </c>
      <c r="B172" s="121" t="s">
        <v>330</v>
      </c>
      <c r="C172" s="120" t="s">
        <v>662</v>
      </c>
      <c r="D172" s="151">
        <v>2020</v>
      </c>
      <c r="E172" s="151">
        <v>4</v>
      </c>
      <c r="F172" s="151">
        <v>45</v>
      </c>
      <c r="G172" s="151">
        <v>211</v>
      </c>
      <c r="H172" s="120" t="s">
        <v>475</v>
      </c>
      <c r="I172" s="153">
        <v>2703000</v>
      </c>
      <c r="J172" s="124"/>
      <c r="K172" s="153"/>
      <c r="L172" s="153"/>
      <c r="M172" s="120" t="s">
        <v>85</v>
      </c>
      <c r="N172" s="126"/>
      <c r="O172" s="126"/>
    </row>
    <row r="173" spans="1:15" s="171" customFormat="1" ht="13.5">
      <c r="A173" s="120" t="s">
        <v>326</v>
      </c>
      <c r="B173" s="121" t="s">
        <v>663</v>
      </c>
      <c r="C173" s="120" t="s">
        <v>664</v>
      </c>
      <c r="D173" s="151">
        <v>2020</v>
      </c>
      <c r="E173" s="151">
        <v>3</v>
      </c>
      <c r="F173" s="151" t="s">
        <v>207</v>
      </c>
      <c r="G173" s="136">
        <v>436</v>
      </c>
      <c r="H173" s="120" t="s">
        <v>475</v>
      </c>
      <c r="I173" s="153">
        <v>40000</v>
      </c>
      <c r="J173" s="124"/>
      <c r="K173" s="153"/>
      <c r="L173" s="153"/>
      <c r="M173" s="120" t="s">
        <v>85</v>
      </c>
      <c r="N173" s="126"/>
      <c r="O173" s="126"/>
    </row>
    <row r="174" spans="1:15" s="171" customFormat="1" ht="12.75">
      <c r="A174" s="120" t="s">
        <v>686</v>
      </c>
      <c r="B174" s="121" t="s">
        <v>323</v>
      </c>
      <c r="C174" s="120" t="s">
        <v>665</v>
      </c>
      <c r="D174" s="151">
        <v>2020</v>
      </c>
      <c r="E174" s="151">
        <v>3</v>
      </c>
      <c r="F174" s="151">
        <v>60</v>
      </c>
      <c r="G174" s="151">
        <v>100</v>
      </c>
      <c r="H174" s="120" t="s">
        <v>475</v>
      </c>
      <c r="I174" s="153">
        <v>178000</v>
      </c>
      <c r="J174" s="124"/>
      <c r="K174" s="153"/>
      <c r="L174" s="153"/>
      <c r="M174" s="120" t="s">
        <v>85</v>
      </c>
      <c r="N174" s="126"/>
      <c r="O174" s="126"/>
    </row>
    <row r="175" spans="1:15" s="171" customFormat="1" ht="26.25">
      <c r="A175" s="120" t="s">
        <v>666</v>
      </c>
      <c r="B175" s="121" t="s">
        <v>325</v>
      </c>
      <c r="C175" s="120" t="s">
        <v>631</v>
      </c>
      <c r="D175" s="151">
        <v>2020</v>
      </c>
      <c r="E175" s="151">
        <v>3</v>
      </c>
      <c r="F175" s="151">
        <v>40</v>
      </c>
      <c r="G175" s="151">
        <v>3583</v>
      </c>
      <c r="H175" s="120" t="s">
        <v>598</v>
      </c>
      <c r="I175" s="153">
        <v>503000</v>
      </c>
      <c r="J175" s="124"/>
      <c r="K175" s="153"/>
      <c r="L175" s="153"/>
      <c r="M175" s="120" t="s">
        <v>85</v>
      </c>
      <c r="N175" s="126"/>
      <c r="O175" s="126"/>
    </row>
    <row r="176" spans="1:15" s="171" customFormat="1" ht="12.75">
      <c r="A176" s="120" t="s">
        <v>667</v>
      </c>
      <c r="B176" s="121" t="s">
        <v>324</v>
      </c>
      <c r="C176" s="120" t="s">
        <v>503</v>
      </c>
      <c r="D176" s="151">
        <v>2020</v>
      </c>
      <c r="E176" s="151">
        <v>3</v>
      </c>
      <c r="F176" s="151">
        <v>35</v>
      </c>
      <c r="G176" s="151">
        <v>224</v>
      </c>
      <c r="H176" s="120" t="s">
        <v>506</v>
      </c>
      <c r="I176" s="153">
        <v>2818000</v>
      </c>
      <c r="J176" s="124">
        <v>44799</v>
      </c>
      <c r="K176" s="153">
        <v>1785000</v>
      </c>
      <c r="L176" s="153">
        <v>1033000</v>
      </c>
      <c r="M176" s="120" t="s">
        <v>85</v>
      </c>
      <c r="N176" s="126"/>
      <c r="O176" s="126"/>
    </row>
    <row r="177" spans="1:15" s="171" customFormat="1" ht="12.75">
      <c r="A177" s="120" t="s">
        <v>688</v>
      </c>
      <c r="B177" s="158" t="s">
        <v>322</v>
      </c>
      <c r="C177" s="120" t="s">
        <v>668</v>
      </c>
      <c r="D177" s="151">
        <v>2020</v>
      </c>
      <c r="E177" s="151">
        <v>2</v>
      </c>
      <c r="F177" s="151">
        <v>45</v>
      </c>
      <c r="G177" s="151">
        <v>2389</v>
      </c>
      <c r="H177" s="120" t="s">
        <v>506</v>
      </c>
      <c r="I177" s="153">
        <v>2509000</v>
      </c>
      <c r="J177" s="124">
        <v>44022</v>
      </c>
      <c r="K177" s="153">
        <v>1670000</v>
      </c>
      <c r="L177" s="153">
        <v>839000</v>
      </c>
      <c r="M177" s="120" t="s">
        <v>85</v>
      </c>
      <c r="N177" s="126"/>
      <c r="O177" s="126"/>
    </row>
    <row r="178" spans="1:15" s="171" customFormat="1" ht="26.25">
      <c r="A178" s="120" t="s">
        <v>63</v>
      </c>
      <c r="B178" s="121" t="s">
        <v>321</v>
      </c>
      <c r="C178" s="120" t="s">
        <v>671</v>
      </c>
      <c r="D178" s="151">
        <v>2019</v>
      </c>
      <c r="E178" s="151">
        <v>4</v>
      </c>
      <c r="F178" s="151">
        <v>35</v>
      </c>
      <c r="G178" s="136">
        <v>113</v>
      </c>
      <c r="H178" s="120" t="s">
        <v>475</v>
      </c>
      <c r="I178" s="153">
        <v>355000</v>
      </c>
      <c r="J178" s="124"/>
      <c r="K178" s="153"/>
      <c r="L178" s="153"/>
      <c r="M178" s="120" t="s">
        <v>85</v>
      </c>
      <c r="N178" s="126"/>
      <c r="O178" s="126"/>
    </row>
    <row r="179" spans="1:15" s="171" customFormat="1" ht="26.25">
      <c r="A179" s="120" t="s">
        <v>316</v>
      </c>
      <c r="B179" s="121" t="s">
        <v>674</v>
      </c>
      <c r="C179" s="120" t="s">
        <v>675</v>
      </c>
      <c r="D179" s="151">
        <v>2019</v>
      </c>
      <c r="E179" s="151">
        <v>2</v>
      </c>
      <c r="F179" s="151" t="s">
        <v>207</v>
      </c>
      <c r="G179" s="136">
        <v>2191</v>
      </c>
      <c r="H179" s="120" t="s">
        <v>475</v>
      </c>
      <c r="I179" s="153">
        <v>285000</v>
      </c>
      <c r="J179" s="124"/>
      <c r="K179" s="153"/>
      <c r="L179" s="153"/>
      <c r="M179" s="120" t="s">
        <v>85</v>
      </c>
      <c r="N179" s="126"/>
      <c r="O179" s="126"/>
    </row>
    <row r="180" spans="1:15" s="171" customFormat="1" ht="39">
      <c r="A180" s="120" t="s">
        <v>298</v>
      </c>
      <c r="B180" s="121" t="s">
        <v>672</v>
      </c>
      <c r="C180" s="120" t="s">
        <v>673</v>
      </c>
      <c r="D180" s="151">
        <v>2019</v>
      </c>
      <c r="E180" s="151">
        <v>2</v>
      </c>
      <c r="F180" s="151" t="s">
        <v>207</v>
      </c>
      <c r="G180" s="136">
        <v>505</v>
      </c>
      <c r="H180" s="120" t="s">
        <v>475</v>
      </c>
      <c r="I180" s="153">
        <v>55000</v>
      </c>
      <c r="J180" s="124"/>
      <c r="K180" s="153"/>
      <c r="L180" s="153"/>
      <c r="M180" s="120" t="s">
        <v>85</v>
      </c>
      <c r="N180" s="126"/>
      <c r="O180" s="126"/>
    </row>
    <row r="181" spans="1:15" s="171" customFormat="1" ht="52.5">
      <c r="A181" s="122" t="s">
        <v>451</v>
      </c>
      <c r="B181" s="158" t="s">
        <v>320</v>
      </c>
      <c r="C181" s="120" t="s">
        <v>676</v>
      </c>
      <c r="D181" s="151">
        <v>2018</v>
      </c>
      <c r="E181" s="151">
        <v>4</v>
      </c>
      <c r="F181" s="151">
        <v>15</v>
      </c>
      <c r="G181" s="136">
        <v>14600</v>
      </c>
      <c r="H181" s="120" t="s">
        <v>475</v>
      </c>
      <c r="I181" s="153">
        <v>260000</v>
      </c>
      <c r="J181" s="124"/>
      <c r="K181" s="153"/>
      <c r="L181" s="153"/>
      <c r="M181" s="120" t="s">
        <v>85</v>
      </c>
      <c r="N181" s="126"/>
      <c r="O181" s="126"/>
    </row>
    <row r="182" spans="1:15" s="171" customFormat="1" ht="26.25">
      <c r="A182" s="122" t="s">
        <v>171</v>
      </c>
      <c r="B182" s="158" t="s">
        <v>677</v>
      </c>
      <c r="C182" s="120" t="s">
        <v>678</v>
      </c>
      <c r="D182" s="151">
        <v>2018</v>
      </c>
      <c r="E182" s="151">
        <v>3</v>
      </c>
      <c r="F182" s="151" t="s">
        <v>207</v>
      </c>
      <c r="G182" s="184">
        <v>436</v>
      </c>
      <c r="H182" s="120" t="s">
        <v>475</v>
      </c>
      <c r="I182" s="153">
        <v>50000</v>
      </c>
      <c r="J182" s="124"/>
      <c r="K182" s="153"/>
      <c r="L182" s="153"/>
      <c r="M182" s="120" t="s">
        <v>85</v>
      </c>
      <c r="N182" s="126"/>
      <c r="O182" s="126"/>
    </row>
    <row r="183" spans="1:15" s="171" customFormat="1" ht="52.5">
      <c r="A183" s="122" t="s">
        <v>669</v>
      </c>
      <c r="B183" s="158" t="s">
        <v>318</v>
      </c>
      <c r="C183" s="120" t="s">
        <v>670</v>
      </c>
      <c r="D183" s="151">
        <v>2018</v>
      </c>
      <c r="E183" s="151">
        <v>2</v>
      </c>
      <c r="F183" s="151">
        <v>45</v>
      </c>
      <c r="G183" s="136">
        <v>247</v>
      </c>
      <c r="H183" s="120" t="s">
        <v>506</v>
      </c>
      <c r="I183" s="153">
        <v>757000</v>
      </c>
      <c r="J183" s="124">
        <v>43532</v>
      </c>
      <c r="K183" s="153">
        <v>557000</v>
      </c>
      <c r="L183" s="153">
        <v>200000</v>
      </c>
      <c r="M183" s="120" t="s">
        <v>85</v>
      </c>
      <c r="N183" s="153"/>
      <c r="O183" s="153"/>
    </row>
    <row r="184" spans="1:15" s="171" customFormat="1" ht="39">
      <c r="A184" s="120" t="s">
        <v>679</v>
      </c>
      <c r="B184" s="121" t="s">
        <v>315</v>
      </c>
      <c r="C184" s="120" t="s">
        <v>680</v>
      </c>
      <c r="D184" s="151">
        <v>2017</v>
      </c>
      <c r="E184" s="151">
        <v>2</v>
      </c>
      <c r="F184" s="151">
        <v>15</v>
      </c>
      <c r="G184" s="136">
        <v>28215</v>
      </c>
      <c r="H184" s="120" t="s">
        <v>598</v>
      </c>
      <c r="I184" s="153">
        <v>2902945</v>
      </c>
      <c r="J184" s="124">
        <v>45317</v>
      </c>
      <c r="K184" s="153">
        <v>2903000</v>
      </c>
      <c r="L184" s="153">
        <v>0</v>
      </c>
      <c r="M184" s="120" t="s">
        <v>85</v>
      </c>
      <c r="N184" s="126"/>
      <c r="O184" s="126"/>
    </row>
    <row r="185" spans="1:15" s="171" customFormat="1" ht="13.5">
      <c r="A185" s="122" t="s">
        <v>167</v>
      </c>
      <c r="B185" s="121" t="s">
        <v>313</v>
      </c>
      <c r="C185" s="120" t="s">
        <v>681</v>
      </c>
      <c r="D185" s="151">
        <v>2016</v>
      </c>
      <c r="E185" s="151">
        <v>2</v>
      </c>
      <c r="F185" s="151">
        <v>40</v>
      </c>
      <c r="G185" s="136">
        <v>664</v>
      </c>
      <c r="H185" s="120" t="s">
        <v>506</v>
      </c>
      <c r="I185" s="153">
        <v>590000</v>
      </c>
      <c r="J185" s="124">
        <v>44029</v>
      </c>
      <c r="K185" s="153">
        <v>473000</v>
      </c>
      <c r="L185" s="153">
        <v>117000</v>
      </c>
      <c r="M185" s="120" t="s">
        <v>85</v>
      </c>
      <c r="N185" s="126"/>
      <c r="O185" s="126"/>
    </row>
    <row r="186" spans="1:15" s="171" customFormat="1" ht="78.75">
      <c r="A186" s="122" t="s">
        <v>796</v>
      </c>
      <c r="B186" s="121" t="s">
        <v>797</v>
      </c>
      <c r="C186" s="120" t="s">
        <v>798</v>
      </c>
      <c r="D186" s="151">
        <v>2015</v>
      </c>
      <c r="E186" s="151">
        <v>2</v>
      </c>
      <c r="F186" s="151">
        <v>55</v>
      </c>
      <c r="G186" s="151">
        <v>779</v>
      </c>
      <c r="H186" s="120" t="s">
        <v>506</v>
      </c>
      <c r="I186" s="153">
        <v>1435000</v>
      </c>
      <c r="J186" s="124">
        <v>44778</v>
      </c>
      <c r="K186" s="153">
        <v>701000</v>
      </c>
      <c r="L186" s="153">
        <v>734000</v>
      </c>
      <c r="M186" s="120" t="s">
        <v>85</v>
      </c>
      <c r="N186" s="126"/>
      <c r="O186" s="126"/>
    </row>
    <row r="187" spans="2:12" s="171" customFormat="1" ht="12.75">
      <c r="B187" s="172"/>
      <c r="D187" s="173"/>
      <c r="E187" s="173"/>
      <c r="F187" s="173"/>
      <c r="G187" s="173"/>
      <c r="I187" s="182">
        <f>SUM(I3:I186)</f>
        <v>809011210</v>
      </c>
      <c r="J187" s="183"/>
      <c r="K187" s="182">
        <f>SUM(K3:K186)</f>
        <v>123944547</v>
      </c>
      <c r="L187" s="174"/>
    </row>
    <row r="188" ht="13.5" thickBot="1"/>
    <row r="189" spans="1:5" ht="14.25" thickBot="1">
      <c r="A189" s="137" t="s">
        <v>736</v>
      </c>
      <c r="B189" s="138" t="s">
        <v>737</v>
      </c>
      <c r="C189" s="139"/>
      <c r="D189" s="140"/>
      <c r="E189" s="141"/>
    </row>
    <row r="190" spans="1:5" ht="13.5">
      <c r="A190" s="142" t="s">
        <v>788</v>
      </c>
      <c r="B190" s="143" t="s">
        <v>789</v>
      </c>
      <c r="C190" s="144"/>
      <c r="D190" s="130"/>
      <c r="E190" s="145"/>
    </row>
    <row r="191" spans="1:5" ht="13.5">
      <c r="A191" s="143" t="s">
        <v>738</v>
      </c>
      <c r="B191" s="143" t="s">
        <v>742</v>
      </c>
      <c r="C191" s="129"/>
      <c r="D191" s="130"/>
      <c r="E191" s="145"/>
    </row>
    <row r="192" spans="1:5" ht="13.5">
      <c r="A192" s="143" t="s">
        <v>740</v>
      </c>
      <c r="B192" s="143" t="s">
        <v>790</v>
      </c>
      <c r="C192" s="129"/>
      <c r="D192" s="130"/>
      <c r="E192" s="145"/>
    </row>
    <row r="193" spans="1:5" ht="13.5">
      <c r="A193" s="143" t="s">
        <v>741</v>
      </c>
      <c r="B193" s="143" t="s">
        <v>744</v>
      </c>
      <c r="C193" s="129"/>
      <c r="D193" s="130"/>
      <c r="E193" s="146"/>
    </row>
    <row r="194" spans="1:5" ht="13.5">
      <c r="A194" s="143" t="s">
        <v>739</v>
      </c>
      <c r="B194" s="143" t="s">
        <v>743</v>
      </c>
      <c r="C194" s="129"/>
      <c r="D194" s="130"/>
      <c r="E194" s="146"/>
    </row>
    <row r="195" spans="1:5" ht="13.5">
      <c r="A195" s="147"/>
      <c r="B195" s="143" t="s">
        <v>745</v>
      </c>
      <c r="C195" s="129"/>
      <c r="D195" s="130"/>
      <c r="E195" s="146"/>
    </row>
    <row r="196" spans="1:5" ht="13.5">
      <c r="A196" s="147"/>
      <c r="B196" s="143" t="s">
        <v>791</v>
      </c>
      <c r="C196" s="129"/>
      <c r="D196" s="130"/>
      <c r="E196" s="146"/>
    </row>
    <row r="197" spans="1:5" ht="14.25" thickBot="1">
      <c r="A197" s="148"/>
      <c r="B197" s="148"/>
      <c r="C197" s="131"/>
      <c r="D197" s="132"/>
      <c r="E197" s="149"/>
    </row>
  </sheetData>
  <sheetProtection/>
  <autoFilter ref="A2:O187"/>
  <mergeCells count="1">
    <mergeCell ref="M1:O1"/>
  </mergeCells>
  <conditionalFormatting sqref="B2:B186">
    <cfRule type="duplicateValues" priority="11" dxfId="2" stopIfTrue="1">
      <formula>AND(COUNTIF($B$2:$B$186,B2)&gt;1,NOT(ISBLANK(B2)))</formula>
    </cfRule>
    <cfRule type="duplicateValues" priority="12" dxfId="2" stopIfTrue="1">
      <formula>AND(COUNTIF($B$2:$B$186,B2)&gt;1,NOT(ISBLANK(B2)))</formula>
    </cfRule>
  </conditionalFormatting>
  <printOptions/>
  <pageMargins left="0.7" right="0.7" top="0.75" bottom="0.75" header="0.3" footer="0.3"/>
  <pageSetup horizontalDpi="600" verticalDpi="600" orientation="landscape" scale="60" r:id="rId1"/>
  <headerFooter>
    <oddFooter>&amp;L&amp;A &amp;F &amp;C&amp;P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rgb="FF92D050"/>
  </sheetPr>
  <dimension ref="A4:BA59"/>
  <sheetViews>
    <sheetView showGridLines="0" zoomScalePageLayoutView="0" workbookViewId="0" topLeftCell="A4">
      <pane xSplit="1" ySplit="2" topLeftCell="B6" activePane="bottomRight" state="frozen"/>
      <selection pane="topLeft" activeCell="A4" sqref="A4"/>
      <selection pane="topRight" activeCell="B4" sqref="B4"/>
      <selection pane="bottomLeft" activeCell="A6" sqref="A6"/>
      <selection pane="bottomRight" activeCell="A63" sqref="A63"/>
    </sheetView>
  </sheetViews>
  <sheetFormatPr defaultColWidth="9.625" defaultRowHeight="12" customHeight="1"/>
  <cols>
    <col min="1" max="1" width="28.50390625" style="73" customWidth="1"/>
    <col min="2" max="2" width="18.125" style="42" customWidth="1"/>
    <col min="3" max="3" width="4.75390625" style="42" customWidth="1"/>
    <col min="4" max="4" width="10.375" style="37" customWidth="1"/>
    <col min="5" max="5" width="12.25390625" style="37" customWidth="1"/>
    <col min="6" max="7" width="6.75390625" style="74" customWidth="1"/>
    <col min="8" max="8" width="12.00390625" style="39" bestFit="1" customWidth="1"/>
    <col min="9" max="9" width="12.00390625" style="39" customWidth="1"/>
    <col min="10" max="10" width="11.625" style="37" customWidth="1"/>
    <col min="11" max="11" width="10.875" style="37" customWidth="1"/>
    <col min="12" max="12" width="9.125" style="68" customWidth="1"/>
    <col min="13" max="13" width="10.75390625" style="68" customWidth="1"/>
    <col min="14" max="14" width="8.875" style="37" customWidth="1"/>
    <col min="15" max="15" width="9.125" style="37" customWidth="1"/>
    <col min="16" max="16" width="7.375" style="42" customWidth="1"/>
    <col min="17" max="17" width="20.375" style="42" customWidth="1"/>
    <col min="18" max="18" width="9.00390625" style="78" customWidth="1"/>
    <col min="19" max="20" width="5.25390625" style="42" customWidth="1"/>
    <col min="21" max="46" width="3.625" style="42" customWidth="1"/>
    <col min="47" max="53" width="9.625" style="42" customWidth="1"/>
    <col min="54" max="16384" width="9.625" style="42" customWidth="1"/>
  </cols>
  <sheetData>
    <row r="4" spans="1:29" s="52" customFormat="1" ht="12" customHeight="1">
      <c r="A4" s="46"/>
      <c r="B4" s="47" t="s">
        <v>0</v>
      </c>
      <c r="C4" s="47" t="s">
        <v>1</v>
      </c>
      <c r="D4" s="48" t="s">
        <v>2</v>
      </c>
      <c r="E4" s="48" t="s">
        <v>3</v>
      </c>
      <c r="F4" s="49"/>
      <c r="G4" s="49"/>
      <c r="H4" s="50" t="s">
        <v>4</v>
      </c>
      <c r="I4" s="50" t="s">
        <v>5</v>
      </c>
      <c r="J4" s="48" t="s">
        <v>128</v>
      </c>
      <c r="K4" s="48" t="s">
        <v>6</v>
      </c>
      <c r="L4" s="51" t="s">
        <v>6</v>
      </c>
      <c r="M4" s="51" t="s">
        <v>7</v>
      </c>
      <c r="N4" s="48" t="s">
        <v>8</v>
      </c>
      <c r="O4" s="48" t="s">
        <v>8</v>
      </c>
      <c r="P4" s="47" t="s">
        <v>9</v>
      </c>
      <c r="R4" s="53" t="s">
        <v>10</v>
      </c>
      <c r="S4" s="47" t="s">
        <v>11</v>
      </c>
      <c r="U4" s="46" t="s">
        <v>84</v>
      </c>
      <c r="AC4" s="54" t="s">
        <v>218</v>
      </c>
    </row>
    <row r="5" spans="1:46" s="52" customFormat="1" ht="12" customHeight="1">
      <c r="A5" s="55" t="s">
        <v>12</v>
      </c>
      <c r="B5" s="47" t="s">
        <v>13</v>
      </c>
      <c r="C5" s="47" t="s">
        <v>14</v>
      </c>
      <c r="D5" s="48" t="s">
        <v>41</v>
      </c>
      <c r="E5" s="48" t="s">
        <v>15</v>
      </c>
      <c r="F5" s="49" t="s">
        <v>96</v>
      </c>
      <c r="G5" s="49" t="s">
        <v>100</v>
      </c>
      <c r="H5" s="50" t="s">
        <v>16</v>
      </c>
      <c r="I5" s="50" t="s">
        <v>17</v>
      </c>
      <c r="J5" s="48" t="s">
        <v>39</v>
      </c>
      <c r="K5" s="48" t="s">
        <v>40</v>
      </c>
      <c r="L5" s="51" t="s">
        <v>18</v>
      </c>
      <c r="M5" s="51" t="s">
        <v>19</v>
      </c>
      <c r="N5" s="48" t="s">
        <v>20</v>
      </c>
      <c r="O5" s="48" t="s">
        <v>56</v>
      </c>
      <c r="P5" s="47" t="s">
        <v>21</v>
      </c>
      <c r="Q5" s="47" t="s">
        <v>22</v>
      </c>
      <c r="R5" s="53" t="s">
        <v>23</v>
      </c>
      <c r="S5" s="47" t="s">
        <v>24</v>
      </c>
      <c r="V5" s="56" t="s">
        <v>57</v>
      </c>
      <c r="W5" s="56" t="s">
        <v>64</v>
      </c>
      <c r="X5" s="56" t="s">
        <v>65</v>
      </c>
      <c r="Y5" s="56" t="s">
        <v>66</v>
      </c>
      <c r="Z5" s="56" t="s">
        <v>67</v>
      </c>
      <c r="AA5" s="56" t="s">
        <v>68</v>
      </c>
      <c r="AB5" s="56" t="s">
        <v>69</v>
      </c>
      <c r="AC5" s="57" t="s">
        <v>70</v>
      </c>
      <c r="AD5" s="56" t="s">
        <v>71</v>
      </c>
      <c r="AE5" s="56" t="s">
        <v>72</v>
      </c>
      <c r="AF5" s="56" t="s">
        <v>73</v>
      </c>
      <c r="AG5" s="56" t="s">
        <v>74</v>
      </c>
      <c r="AH5" s="56" t="s">
        <v>75</v>
      </c>
      <c r="AI5" s="56" t="s">
        <v>76</v>
      </c>
      <c r="AJ5" s="56" t="s">
        <v>77</v>
      </c>
      <c r="AK5" s="56" t="s">
        <v>78</v>
      </c>
      <c r="AL5" s="56" t="s">
        <v>79</v>
      </c>
      <c r="AM5" s="56" t="s">
        <v>80</v>
      </c>
      <c r="AN5" s="56" t="s">
        <v>81</v>
      </c>
      <c r="AO5" s="56" t="s">
        <v>82</v>
      </c>
      <c r="AP5" s="56" t="s">
        <v>83</v>
      </c>
      <c r="AQ5" s="52">
        <v>21</v>
      </c>
      <c r="AR5" s="52">
        <v>22</v>
      </c>
      <c r="AS5" s="52">
        <v>23</v>
      </c>
      <c r="AT5" s="52">
        <v>24</v>
      </c>
    </row>
    <row r="6" spans="1:19" ht="12" customHeight="1">
      <c r="A6" s="58"/>
      <c r="B6" s="59"/>
      <c r="C6" s="59"/>
      <c r="D6" s="60"/>
      <c r="E6" s="60"/>
      <c r="F6" s="61"/>
      <c r="G6" s="61"/>
      <c r="H6" s="62"/>
      <c r="I6" s="62"/>
      <c r="J6" s="60"/>
      <c r="K6" s="60"/>
      <c r="L6" s="63"/>
      <c r="M6" s="63"/>
      <c r="N6" s="60"/>
      <c r="O6" s="60"/>
      <c r="P6" s="59"/>
      <c r="Q6" s="59"/>
      <c r="R6" s="64"/>
      <c r="S6" s="59"/>
    </row>
    <row r="7" spans="1:19" s="112" customFormat="1" ht="19.5" customHeight="1">
      <c r="A7" s="104" t="s">
        <v>283</v>
      </c>
      <c r="B7" s="105" t="s">
        <v>243</v>
      </c>
      <c r="C7" s="106" t="s">
        <v>72</v>
      </c>
      <c r="D7" s="107"/>
      <c r="E7" s="107">
        <v>40219</v>
      </c>
      <c r="F7" s="108"/>
      <c r="G7" s="108"/>
      <c r="H7" s="109">
        <f>68000</f>
        <v>68000</v>
      </c>
      <c r="I7" s="110">
        <f>16000+44033+7967</f>
        <v>68000</v>
      </c>
      <c r="J7" s="107">
        <v>40099</v>
      </c>
      <c r="K7" s="107">
        <v>40184</v>
      </c>
      <c r="L7" s="107">
        <v>40176</v>
      </c>
      <c r="M7" s="107">
        <v>40598</v>
      </c>
      <c r="N7" s="107"/>
      <c r="O7" s="107">
        <v>40354</v>
      </c>
      <c r="P7" s="105" t="s">
        <v>252</v>
      </c>
      <c r="Q7" s="105" t="s">
        <v>264</v>
      </c>
      <c r="R7" s="111">
        <v>0</v>
      </c>
      <c r="S7" s="105">
        <v>2</v>
      </c>
    </row>
    <row r="8" spans="1:19" s="112" customFormat="1" ht="19.5" customHeight="1">
      <c r="A8" s="104" t="s">
        <v>303</v>
      </c>
      <c r="B8" s="105" t="s">
        <v>239</v>
      </c>
      <c r="C8" s="106" t="s">
        <v>72</v>
      </c>
      <c r="D8" s="107"/>
      <c r="E8" s="107">
        <v>40219</v>
      </c>
      <c r="F8" s="108"/>
      <c r="G8" s="108"/>
      <c r="H8" s="109">
        <v>32000</v>
      </c>
      <c r="I8" s="110">
        <f>32000</f>
        <v>32000</v>
      </c>
      <c r="J8" s="107">
        <v>40064</v>
      </c>
      <c r="K8" s="107">
        <v>40043</v>
      </c>
      <c r="L8" s="107">
        <v>40184</v>
      </c>
      <c r="M8" s="107">
        <v>41156</v>
      </c>
      <c r="N8" s="107"/>
      <c r="O8" s="107">
        <v>40445</v>
      </c>
      <c r="P8" s="105"/>
      <c r="Q8" s="105"/>
      <c r="R8" s="111">
        <v>0</v>
      </c>
      <c r="S8" s="105">
        <v>4</v>
      </c>
    </row>
    <row r="9" spans="1:19" s="112" customFormat="1" ht="19.5" customHeight="1">
      <c r="A9" s="104" t="s">
        <v>305</v>
      </c>
      <c r="B9" s="105" t="s">
        <v>239</v>
      </c>
      <c r="C9" s="106" t="s">
        <v>72</v>
      </c>
      <c r="D9" s="107"/>
      <c r="E9" s="107">
        <v>40219</v>
      </c>
      <c r="F9" s="108"/>
      <c r="G9" s="108"/>
      <c r="H9" s="109">
        <v>18000</v>
      </c>
      <c r="I9" s="110">
        <v>18000</v>
      </c>
      <c r="J9" s="107">
        <v>40064</v>
      </c>
      <c r="K9" s="107">
        <v>40043</v>
      </c>
      <c r="L9" s="107">
        <v>40184</v>
      </c>
      <c r="M9" s="107">
        <v>41156</v>
      </c>
      <c r="N9" s="107"/>
      <c r="O9" s="107">
        <v>40879</v>
      </c>
      <c r="P9" s="105"/>
      <c r="Q9" s="105"/>
      <c r="R9" s="111">
        <v>0</v>
      </c>
      <c r="S9" s="105">
        <v>4</v>
      </c>
    </row>
    <row r="10" spans="1:19" ht="19.5" customHeight="1">
      <c r="A10" s="91" t="s">
        <v>274</v>
      </c>
      <c r="B10" s="65" t="s">
        <v>226</v>
      </c>
      <c r="C10" s="70" t="s">
        <v>72</v>
      </c>
      <c r="D10" s="40"/>
      <c r="E10" s="40">
        <v>40191</v>
      </c>
      <c r="F10" s="75"/>
      <c r="G10" s="66"/>
      <c r="H10" s="102">
        <v>884000</v>
      </c>
      <c r="I10" s="67">
        <f>884000</f>
        <v>884000</v>
      </c>
      <c r="J10" s="40">
        <v>39744</v>
      </c>
      <c r="K10" s="40">
        <v>40002</v>
      </c>
      <c r="L10" s="36">
        <v>40040</v>
      </c>
      <c r="M10" s="68">
        <v>40632</v>
      </c>
      <c r="O10" s="37">
        <v>40193</v>
      </c>
      <c r="P10" s="65" t="s">
        <v>196</v>
      </c>
      <c r="Q10" s="65" t="s">
        <v>203</v>
      </c>
      <c r="R10" s="69">
        <v>0</v>
      </c>
      <c r="S10" s="65">
        <v>4</v>
      </c>
    </row>
    <row r="11" spans="1:19" s="112" customFormat="1" ht="19.5" customHeight="1">
      <c r="A11" s="104" t="s">
        <v>306</v>
      </c>
      <c r="B11" s="105" t="s">
        <v>237</v>
      </c>
      <c r="C11" s="106" t="s">
        <v>72</v>
      </c>
      <c r="D11" s="107"/>
      <c r="E11" s="117" t="s">
        <v>307</v>
      </c>
      <c r="F11" s="108"/>
      <c r="G11" s="108"/>
      <c r="H11" s="109">
        <v>125000</v>
      </c>
      <c r="I11" s="110">
        <v>125000</v>
      </c>
      <c r="J11" s="107">
        <v>40074</v>
      </c>
      <c r="K11" s="107">
        <v>40162</v>
      </c>
      <c r="L11" s="107">
        <v>40176</v>
      </c>
      <c r="M11" s="107">
        <v>42339</v>
      </c>
      <c r="N11" s="107"/>
      <c r="O11" s="107">
        <v>40795</v>
      </c>
      <c r="P11" s="105"/>
      <c r="Q11" s="105"/>
      <c r="R11" s="111">
        <v>0</v>
      </c>
      <c r="S11" s="105">
        <v>4</v>
      </c>
    </row>
    <row r="12" spans="1:19" s="112" customFormat="1" ht="19.5" customHeight="1">
      <c r="A12" s="104" t="s">
        <v>301</v>
      </c>
      <c r="B12" s="105" t="s">
        <v>237</v>
      </c>
      <c r="C12" s="106" t="s">
        <v>72</v>
      </c>
      <c r="D12" s="107"/>
      <c r="E12" s="107">
        <v>40224</v>
      </c>
      <c r="F12" s="108"/>
      <c r="G12" s="108"/>
      <c r="H12" s="109">
        <v>783000</v>
      </c>
      <c r="I12" s="110">
        <f>84647.4+262162.56+436190.04</f>
        <v>783000</v>
      </c>
      <c r="J12" s="107">
        <v>40074</v>
      </c>
      <c r="K12" s="107">
        <v>40162</v>
      </c>
      <c r="L12" s="107">
        <v>40176</v>
      </c>
      <c r="M12" s="107">
        <v>42339</v>
      </c>
      <c r="N12" s="107"/>
      <c r="O12" s="107">
        <v>40690</v>
      </c>
      <c r="P12" s="105"/>
      <c r="Q12" s="105"/>
      <c r="R12" s="111">
        <v>0</v>
      </c>
      <c r="S12" s="105">
        <v>4</v>
      </c>
    </row>
    <row r="13" spans="1:19" s="112" customFormat="1" ht="19.5" customHeight="1">
      <c r="A13" s="104" t="s">
        <v>290</v>
      </c>
      <c r="B13" s="105" t="s">
        <v>241</v>
      </c>
      <c r="C13" s="106" t="s">
        <v>72</v>
      </c>
      <c r="D13" s="107"/>
      <c r="E13" s="107">
        <v>40191</v>
      </c>
      <c r="F13" s="108"/>
      <c r="G13" s="108"/>
      <c r="H13" s="110">
        <v>100000</v>
      </c>
      <c r="I13" s="110">
        <f>100000</f>
        <v>100000</v>
      </c>
      <c r="J13" s="107">
        <v>40056</v>
      </c>
      <c r="K13" s="107">
        <v>40136</v>
      </c>
      <c r="L13" s="113">
        <v>40199</v>
      </c>
      <c r="M13" s="119">
        <v>40366</v>
      </c>
      <c r="N13" s="113"/>
      <c r="O13" s="113">
        <v>40319</v>
      </c>
      <c r="P13" s="105" t="s">
        <v>195</v>
      </c>
      <c r="Q13" s="105"/>
      <c r="R13" s="111">
        <v>0</v>
      </c>
      <c r="S13" s="105">
        <v>3</v>
      </c>
    </row>
    <row r="14" spans="1:19" ht="19.5" customHeight="1">
      <c r="A14" s="91" t="s">
        <v>281</v>
      </c>
      <c r="B14" s="65" t="s">
        <v>222</v>
      </c>
      <c r="C14" s="70" t="s">
        <v>71</v>
      </c>
      <c r="D14" s="40"/>
      <c r="E14" s="40">
        <v>40219</v>
      </c>
      <c r="F14" s="66"/>
      <c r="G14" s="66"/>
      <c r="H14" s="67">
        <v>122000</v>
      </c>
      <c r="I14" s="67">
        <f>8798.79+59139.85+7220.84+46840.52</f>
        <v>122000</v>
      </c>
      <c r="J14" s="40">
        <v>39911</v>
      </c>
      <c r="K14" s="40">
        <v>40113</v>
      </c>
      <c r="L14" s="68">
        <v>40177</v>
      </c>
      <c r="M14" s="94">
        <v>40526</v>
      </c>
      <c r="N14" s="37">
        <v>40662</v>
      </c>
      <c r="O14" s="37">
        <v>40277</v>
      </c>
      <c r="P14" s="65" t="s">
        <v>195</v>
      </c>
      <c r="Q14" s="65" t="s">
        <v>256</v>
      </c>
      <c r="R14" s="69">
        <v>0</v>
      </c>
      <c r="S14" s="65">
        <v>1</v>
      </c>
    </row>
    <row r="15" spans="1:40" ht="19.5" customHeight="1">
      <c r="A15" s="41" t="s">
        <v>268</v>
      </c>
      <c r="B15" s="65" t="s">
        <v>208</v>
      </c>
      <c r="C15" s="71" t="s">
        <v>69</v>
      </c>
      <c r="D15" s="40"/>
      <c r="E15" s="40">
        <v>40114</v>
      </c>
      <c r="F15" s="66"/>
      <c r="G15" s="66"/>
      <c r="H15" s="67">
        <v>432000</v>
      </c>
      <c r="I15" s="67">
        <f>188362.03+36948.76+71968.25+17499+112221.96+5000</f>
        <v>432000.00000000006</v>
      </c>
      <c r="J15" s="40">
        <v>39701</v>
      </c>
      <c r="K15" s="40">
        <v>39889</v>
      </c>
      <c r="L15" s="36">
        <v>39888</v>
      </c>
      <c r="M15" s="95">
        <v>40276</v>
      </c>
      <c r="N15" s="40">
        <v>40277</v>
      </c>
      <c r="O15" s="40">
        <v>40620</v>
      </c>
      <c r="P15" s="65" t="s">
        <v>92</v>
      </c>
      <c r="Q15" s="65" t="s">
        <v>173</v>
      </c>
      <c r="R15" s="69">
        <v>0</v>
      </c>
      <c r="S15" s="65">
        <v>2</v>
      </c>
      <c r="X15" s="42" t="s">
        <v>103</v>
      </c>
      <c r="AB15" s="42" t="s">
        <v>103</v>
      </c>
      <c r="AF15" s="42" t="s">
        <v>103</v>
      </c>
      <c r="AJ15" s="42" t="s">
        <v>103</v>
      </c>
      <c r="AN15" s="42" t="s">
        <v>103</v>
      </c>
    </row>
    <row r="16" spans="1:19" s="112" customFormat="1" ht="19.5" customHeight="1">
      <c r="A16" s="104" t="s">
        <v>287</v>
      </c>
      <c r="B16" s="105" t="s">
        <v>244</v>
      </c>
      <c r="C16" s="106" t="s">
        <v>72</v>
      </c>
      <c r="D16" s="107"/>
      <c r="E16" s="107">
        <v>40219</v>
      </c>
      <c r="F16" s="108"/>
      <c r="G16" s="108"/>
      <c r="H16" s="109">
        <v>107000</v>
      </c>
      <c r="I16" s="110">
        <f>107000</f>
        <v>107000</v>
      </c>
      <c r="J16" s="107">
        <v>40037</v>
      </c>
      <c r="K16" s="107">
        <v>40112</v>
      </c>
      <c r="L16" s="113">
        <v>40162</v>
      </c>
      <c r="M16" s="113">
        <v>40752</v>
      </c>
      <c r="N16" s="113"/>
      <c r="O16" s="113">
        <v>40270</v>
      </c>
      <c r="P16" s="105"/>
      <c r="Q16" s="105"/>
      <c r="R16" s="111">
        <v>0</v>
      </c>
      <c r="S16" s="105">
        <v>3</v>
      </c>
    </row>
    <row r="17" spans="1:19" s="112" customFormat="1" ht="19.5" customHeight="1">
      <c r="A17" s="104" t="s">
        <v>297</v>
      </c>
      <c r="B17" s="105" t="s">
        <v>242</v>
      </c>
      <c r="C17" s="106" t="s">
        <v>72</v>
      </c>
      <c r="D17" s="107"/>
      <c r="E17" s="107">
        <v>40221</v>
      </c>
      <c r="F17" s="108"/>
      <c r="G17" s="108"/>
      <c r="H17" s="109">
        <v>3000000</v>
      </c>
      <c r="I17" s="110">
        <f>(46760+30000)+82316.77+20523.47+138607.49+653681.89+84723.42+630852.41+605626.84+62568.97+644338.74</f>
        <v>3000000</v>
      </c>
      <c r="J17" s="107">
        <v>40115</v>
      </c>
      <c r="K17" s="107">
        <v>40066</v>
      </c>
      <c r="L17" s="107">
        <v>40193</v>
      </c>
      <c r="M17" s="107">
        <v>41068</v>
      </c>
      <c r="N17" s="107"/>
      <c r="O17" s="107">
        <v>40542</v>
      </c>
      <c r="P17" s="105" t="s">
        <v>258</v>
      </c>
      <c r="Q17" s="105" t="s">
        <v>259</v>
      </c>
      <c r="R17" s="111">
        <v>0.03</v>
      </c>
      <c r="S17" s="105">
        <v>4</v>
      </c>
    </row>
    <row r="18" spans="1:19" s="112" customFormat="1" ht="19.5" customHeight="1">
      <c r="A18" s="104" t="s">
        <v>293</v>
      </c>
      <c r="B18" s="105" t="s">
        <v>242</v>
      </c>
      <c r="C18" s="106" t="s">
        <v>72</v>
      </c>
      <c r="D18" s="107"/>
      <c r="E18" s="107">
        <v>40221</v>
      </c>
      <c r="F18" s="108"/>
      <c r="G18" s="108"/>
      <c r="H18" s="109">
        <v>1000000</v>
      </c>
      <c r="I18" s="110">
        <f>119212.41+66461.72+234536.48+19945.46+32649.59+208607.21+318587.13</f>
        <v>1000000</v>
      </c>
      <c r="J18" s="107">
        <v>40115</v>
      </c>
      <c r="K18" s="107">
        <v>40066</v>
      </c>
      <c r="L18" s="107">
        <v>40193</v>
      </c>
      <c r="M18" s="107">
        <v>41068</v>
      </c>
      <c r="N18" s="107"/>
      <c r="O18" s="107">
        <v>40382</v>
      </c>
      <c r="P18" s="105" t="s">
        <v>258</v>
      </c>
      <c r="Q18" s="105" t="s">
        <v>259</v>
      </c>
      <c r="R18" s="111">
        <v>0</v>
      </c>
      <c r="S18" s="105">
        <v>4</v>
      </c>
    </row>
    <row r="19" spans="1:19" ht="19.5" customHeight="1">
      <c r="A19" s="101" t="s">
        <v>275</v>
      </c>
      <c r="B19" s="80" t="s">
        <v>220</v>
      </c>
      <c r="C19" s="71" t="s">
        <v>71</v>
      </c>
      <c r="E19" s="37">
        <v>40191</v>
      </c>
      <c r="H19" s="67">
        <v>197000</v>
      </c>
      <c r="I19" s="39">
        <v>197000</v>
      </c>
      <c r="J19" s="37">
        <v>39969</v>
      </c>
      <c r="K19" s="37">
        <v>40000</v>
      </c>
      <c r="L19" s="68">
        <v>40024</v>
      </c>
      <c r="M19" s="68">
        <v>40689</v>
      </c>
      <c r="O19" s="37">
        <v>40193</v>
      </c>
      <c r="R19" s="69">
        <v>0</v>
      </c>
      <c r="S19" s="42">
        <v>2</v>
      </c>
    </row>
    <row r="20" spans="1:19" s="44" customFormat="1" ht="19.5" customHeight="1">
      <c r="A20" s="41" t="s">
        <v>213</v>
      </c>
      <c r="B20" s="76" t="s">
        <v>214</v>
      </c>
      <c r="C20" s="70" t="s">
        <v>71</v>
      </c>
      <c r="D20" s="36"/>
      <c r="E20" s="36">
        <v>40224</v>
      </c>
      <c r="F20" s="75"/>
      <c r="G20" s="75"/>
      <c r="H20" s="67">
        <v>90000</v>
      </c>
      <c r="I20" s="38">
        <f>90000</f>
        <v>90000</v>
      </c>
      <c r="J20" s="36">
        <v>39430</v>
      </c>
      <c r="K20" s="36">
        <v>40129</v>
      </c>
      <c r="L20" s="36">
        <v>40165</v>
      </c>
      <c r="M20" s="36">
        <v>40483</v>
      </c>
      <c r="N20" s="36"/>
      <c r="O20" s="36">
        <v>40410</v>
      </c>
      <c r="P20" s="76" t="s">
        <v>33</v>
      </c>
      <c r="Q20" s="76" t="s">
        <v>257</v>
      </c>
      <c r="R20" s="77">
        <v>0</v>
      </c>
      <c r="S20" s="76">
        <v>3</v>
      </c>
    </row>
    <row r="21" spans="1:19" s="112" customFormat="1" ht="19.5" customHeight="1">
      <c r="A21" s="114" t="s">
        <v>279</v>
      </c>
      <c r="B21" s="105" t="s">
        <v>246</v>
      </c>
      <c r="C21" s="106" t="s">
        <v>72</v>
      </c>
      <c r="D21" s="113"/>
      <c r="E21" s="113">
        <v>40219</v>
      </c>
      <c r="F21" s="115"/>
      <c r="G21" s="115"/>
      <c r="H21" s="109">
        <v>35000</v>
      </c>
      <c r="I21" s="109">
        <f>30174.26+4825.74</f>
        <v>35000</v>
      </c>
      <c r="J21" s="113">
        <v>40030</v>
      </c>
      <c r="K21" s="113">
        <v>40074</v>
      </c>
      <c r="L21" s="113">
        <v>40231</v>
      </c>
      <c r="M21" s="119">
        <v>40349</v>
      </c>
      <c r="N21" s="113">
        <v>40480</v>
      </c>
      <c r="O21" s="113">
        <v>40291</v>
      </c>
      <c r="P21" s="105"/>
      <c r="R21" s="111">
        <v>0</v>
      </c>
      <c r="S21" s="112">
        <v>2</v>
      </c>
    </row>
    <row r="22" spans="1:19" ht="19.5" customHeight="1">
      <c r="A22" s="101" t="s">
        <v>272</v>
      </c>
      <c r="B22" s="42" t="s">
        <v>229</v>
      </c>
      <c r="C22" s="71" t="s">
        <v>71</v>
      </c>
      <c r="D22" s="37">
        <v>39400</v>
      </c>
      <c r="E22" s="37">
        <v>40114</v>
      </c>
      <c r="H22" s="97">
        <v>200000</v>
      </c>
      <c r="I22" s="39">
        <f>104227+53256+42517</f>
        <v>200000</v>
      </c>
      <c r="J22" s="37">
        <v>39734</v>
      </c>
      <c r="K22" s="37">
        <v>39955</v>
      </c>
      <c r="L22" s="68">
        <v>39918</v>
      </c>
      <c r="M22" s="68">
        <v>40183</v>
      </c>
      <c r="O22" s="37">
        <v>40340</v>
      </c>
      <c r="P22" s="65"/>
      <c r="R22" s="69">
        <v>0</v>
      </c>
      <c r="S22" s="42">
        <v>1</v>
      </c>
    </row>
    <row r="23" spans="1:53" s="43" customFormat="1" ht="19.5" customHeight="1">
      <c r="A23" s="41" t="s">
        <v>269</v>
      </c>
      <c r="B23" s="76" t="s">
        <v>217</v>
      </c>
      <c r="C23" s="70" t="s">
        <v>70</v>
      </c>
      <c r="D23" s="36"/>
      <c r="E23" s="36">
        <v>40100</v>
      </c>
      <c r="F23" s="75"/>
      <c r="G23" s="75"/>
      <c r="H23" s="67">
        <v>5083000</v>
      </c>
      <c r="I23" s="38">
        <f>(45890+50830)+1530885.64+868114.44+595932.71+1991347.21</f>
        <v>5083000</v>
      </c>
      <c r="J23" s="36">
        <v>39874</v>
      </c>
      <c r="K23" s="36">
        <v>39911</v>
      </c>
      <c r="L23" s="95">
        <v>40008</v>
      </c>
      <c r="M23" s="95">
        <v>40410</v>
      </c>
      <c r="N23" s="36"/>
      <c r="O23" s="36">
        <v>40312</v>
      </c>
      <c r="P23" s="76" t="s">
        <v>196</v>
      </c>
      <c r="Q23" s="76" t="s">
        <v>254</v>
      </c>
      <c r="R23" s="77">
        <v>0.03</v>
      </c>
      <c r="S23" s="76">
        <v>4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</row>
    <row r="24" spans="1:53" s="43" customFormat="1" ht="19.5" customHeight="1">
      <c r="A24" s="41" t="s">
        <v>273</v>
      </c>
      <c r="B24" s="76" t="s">
        <v>217</v>
      </c>
      <c r="C24" s="70" t="s">
        <v>70</v>
      </c>
      <c r="D24" s="36"/>
      <c r="E24" s="36">
        <v>40135</v>
      </c>
      <c r="F24" s="75"/>
      <c r="G24" s="75"/>
      <c r="H24" s="67">
        <v>2000000</v>
      </c>
      <c r="I24" s="38">
        <f>760200.28+307540.97+80499.28+726175+92669.19+32915.28</f>
        <v>2000000</v>
      </c>
      <c r="J24" s="36">
        <v>39874</v>
      </c>
      <c r="K24" s="36">
        <v>39911</v>
      </c>
      <c r="L24" s="95">
        <v>39947</v>
      </c>
      <c r="M24" s="95">
        <v>40399</v>
      </c>
      <c r="N24" s="36"/>
      <c r="O24" s="36">
        <v>40284</v>
      </c>
      <c r="P24" s="76" t="s">
        <v>196</v>
      </c>
      <c r="Q24" s="76" t="s">
        <v>254</v>
      </c>
      <c r="R24" s="77">
        <v>0</v>
      </c>
      <c r="S24" s="76">
        <v>4</v>
      </c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</row>
    <row r="25" spans="1:19" s="44" customFormat="1" ht="19.5" customHeight="1">
      <c r="A25" s="41" t="s">
        <v>270</v>
      </c>
      <c r="B25" s="76" t="s">
        <v>216</v>
      </c>
      <c r="C25" s="70" t="s">
        <v>70</v>
      </c>
      <c r="D25" s="36"/>
      <c r="E25" s="36">
        <v>40121</v>
      </c>
      <c r="F25" s="75"/>
      <c r="G25" s="75"/>
      <c r="H25" s="38">
        <v>1040000</v>
      </c>
      <c r="I25" s="38">
        <f>153749.52+20139.69+479301.46+129574.66+88696.07+143274.4+25264.2</f>
        <v>1040000.0000000001</v>
      </c>
      <c r="J25" s="36">
        <v>39855</v>
      </c>
      <c r="K25" s="36">
        <v>39903</v>
      </c>
      <c r="L25" s="95">
        <v>39960</v>
      </c>
      <c r="M25" s="95">
        <v>40368</v>
      </c>
      <c r="N25" s="36"/>
      <c r="O25" s="36">
        <v>40284</v>
      </c>
      <c r="P25" s="76"/>
      <c r="Q25" s="76"/>
      <c r="R25" s="77">
        <v>0</v>
      </c>
      <c r="S25" s="76">
        <v>2</v>
      </c>
    </row>
    <row r="26" spans="1:53" s="90" customFormat="1" ht="19.5" customHeight="1">
      <c r="A26" s="41" t="s">
        <v>294</v>
      </c>
      <c r="B26" s="76" t="s">
        <v>219</v>
      </c>
      <c r="C26" s="70" t="s">
        <v>71</v>
      </c>
      <c r="D26" s="36"/>
      <c r="E26" s="36">
        <v>40135</v>
      </c>
      <c r="F26" s="75"/>
      <c r="G26" s="75"/>
      <c r="H26" s="97">
        <f>498000-125000</f>
        <v>373000</v>
      </c>
      <c r="I26" s="38">
        <f>(4980)+64238.59+234637.79+21787.16+41947.2+1314.75+4094.51</f>
        <v>373000</v>
      </c>
      <c r="J26" s="36">
        <v>39836</v>
      </c>
      <c r="K26" s="36">
        <v>39804</v>
      </c>
      <c r="L26" s="36">
        <v>39868</v>
      </c>
      <c r="M26" s="95">
        <v>40373</v>
      </c>
      <c r="N26" s="36"/>
      <c r="O26" s="36">
        <v>40753</v>
      </c>
      <c r="P26" s="76" t="s">
        <v>33</v>
      </c>
      <c r="Q26" s="76" t="s">
        <v>95</v>
      </c>
      <c r="R26" s="77">
        <v>0.03</v>
      </c>
      <c r="S26" s="76">
        <v>2</v>
      </c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</row>
    <row r="27" spans="1:53" s="90" customFormat="1" ht="19.5" customHeight="1">
      <c r="A27" s="41" t="s">
        <v>295</v>
      </c>
      <c r="B27" s="76" t="s">
        <v>219</v>
      </c>
      <c r="C27" s="70" t="s">
        <v>71</v>
      </c>
      <c r="D27" s="36"/>
      <c r="E27" s="36">
        <v>40135</v>
      </c>
      <c r="F27" s="75"/>
      <c r="G27" s="75"/>
      <c r="H27" s="97">
        <v>330000</v>
      </c>
      <c r="I27" s="38">
        <f>17989.41+77999.36+17943.78+3782.51+65834.9+91746.15+11148.05+43555.84</f>
        <v>330000</v>
      </c>
      <c r="J27" s="36">
        <v>39836</v>
      </c>
      <c r="K27" s="36">
        <v>39804</v>
      </c>
      <c r="L27" s="36">
        <v>39868</v>
      </c>
      <c r="M27" s="36">
        <v>40373</v>
      </c>
      <c r="N27" s="36"/>
      <c r="O27" s="36">
        <v>40375</v>
      </c>
      <c r="P27" s="76" t="s">
        <v>33</v>
      </c>
      <c r="Q27" s="76" t="s">
        <v>95</v>
      </c>
      <c r="R27" s="77">
        <v>0</v>
      </c>
      <c r="S27" s="76">
        <v>2</v>
      </c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</row>
    <row r="28" spans="1:19" s="112" customFormat="1" ht="19.5" customHeight="1">
      <c r="A28" s="104" t="s">
        <v>291</v>
      </c>
      <c r="B28" s="105" t="s">
        <v>247</v>
      </c>
      <c r="C28" s="106" t="s">
        <v>72</v>
      </c>
      <c r="D28" s="107"/>
      <c r="E28" s="107">
        <v>40224</v>
      </c>
      <c r="F28" s="108"/>
      <c r="G28" s="108"/>
      <c r="H28" s="109">
        <v>46000</v>
      </c>
      <c r="I28" s="110">
        <f>46000</f>
        <v>46000</v>
      </c>
      <c r="J28" s="107">
        <v>40065</v>
      </c>
      <c r="K28" s="107">
        <v>40161</v>
      </c>
      <c r="L28" s="107">
        <v>40171</v>
      </c>
      <c r="M28" s="118">
        <v>40299</v>
      </c>
      <c r="N28" s="107"/>
      <c r="O28" s="107">
        <v>40340</v>
      </c>
      <c r="P28" s="105"/>
      <c r="Q28" s="105"/>
      <c r="R28" s="111">
        <v>0</v>
      </c>
      <c r="S28" s="105">
        <v>2</v>
      </c>
    </row>
    <row r="29" spans="1:53" s="43" customFormat="1" ht="19.5" customHeight="1">
      <c r="A29" s="41" t="s">
        <v>286</v>
      </c>
      <c r="B29" s="76" t="s">
        <v>231</v>
      </c>
      <c r="C29" s="70" t="s">
        <v>72</v>
      </c>
      <c r="D29" s="36"/>
      <c r="E29" s="36">
        <v>40219</v>
      </c>
      <c r="F29" s="75"/>
      <c r="G29" s="75"/>
      <c r="H29" s="97">
        <v>1603000</v>
      </c>
      <c r="I29" s="38">
        <f>371140.33+200749.42+275374.22+586346.09+75112.86+94277.08</f>
        <v>1603000.0000000002</v>
      </c>
      <c r="J29" s="36">
        <v>39980</v>
      </c>
      <c r="K29" s="36">
        <v>40016</v>
      </c>
      <c r="L29" s="36">
        <v>40021</v>
      </c>
      <c r="M29" s="36">
        <v>40920</v>
      </c>
      <c r="N29" s="36"/>
      <c r="O29" s="36">
        <v>40375</v>
      </c>
      <c r="P29" s="76"/>
      <c r="Q29" s="76" t="s">
        <v>251</v>
      </c>
      <c r="R29" s="77">
        <v>0</v>
      </c>
      <c r="S29" s="76">
        <v>4</v>
      </c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</row>
    <row r="30" spans="1:19" ht="19.5" customHeight="1">
      <c r="A30" s="41" t="s">
        <v>288</v>
      </c>
      <c r="B30" s="65" t="s">
        <v>233</v>
      </c>
      <c r="C30" s="71" t="s">
        <v>72</v>
      </c>
      <c r="D30" s="40"/>
      <c r="E30" s="40">
        <v>40219</v>
      </c>
      <c r="F30" s="66"/>
      <c r="G30" s="66"/>
      <c r="H30" s="97">
        <v>249000</v>
      </c>
      <c r="I30" s="67">
        <f>2150+5613.95+1605.58+48583.94+3301.04+16419.32+2273.83+22037.65+147014.69</f>
        <v>249000</v>
      </c>
      <c r="J30" s="40">
        <v>40119</v>
      </c>
      <c r="K30" s="40">
        <v>40161</v>
      </c>
      <c r="L30" s="36">
        <v>40162</v>
      </c>
      <c r="M30" s="36">
        <v>40862</v>
      </c>
      <c r="N30" s="40"/>
      <c r="O30" s="40">
        <v>40473</v>
      </c>
      <c r="P30" s="98" t="s">
        <v>209</v>
      </c>
      <c r="Q30" s="98" t="s">
        <v>261</v>
      </c>
      <c r="R30" s="69">
        <v>0</v>
      </c>
      <c r="S30" s="65">
        <v>2</v>
      </c>
    </row>
    <row r="31" spans="1:19" s="112" customFormat="1" ht="19.5" customHeight="1">
      <c r="A31" s="104" t="s">
        <v>302</v>
      </c>
      <c r="B31" s="105" t="s">
        <v>240</v>
      </c>
      <c r="C31" s="106" t="s">
        <v>72</v>
      </c>
      <c r="D31" s="107"/>
      <c r="E31" s="107">
        <v>40221</v>
      </c>
      <c r="F31" s="108"/>
      <c r="G31" s="108"/>
      <c r="H31" s="109">
        <v>13000</v>
      </c>
      <c r="I31" s="110">
        <f>13000</f>
        <v>13000</v>
      </c>
      <c r="J31" s="107">
        <v>40057</v>
      </c>
      <c r="K31" s="107">
        <v>40161</v>
      </c>
      <c r="L31" s="107">
        <v>40161</v>
      </c>
      <c r="M31" s="107">
        <v>40512</v>
      </c>
      <c r="N31" s="107">
        <v>40784</v>
      </c>
      <c r="O31" s="107">
        <v>40403</v>
      </c>
      <c r="P31" s="105" t="s">
        <v>195</v>
      </c>
      <c r="Q31" s="105" t="s">
        <v>260</v>
      </c>
      <c r="R31" s="111">
        <v>0</v>
      </c>
      <c r="S31" s="105">
        <v>1</v>
      </c>
    </row>
    <row r="32" spans="1:19" ht="19.5" customHeight="1">
      <c r="A32" s="91" t="s">
        <v>277</v>
      </c>
      <c r="B32" s="65" t="s">
        <v>225</v>
      </c>
      <c r="C32" s="71" t="s">
        <v>71</v>
      </c>
      <c r="D32" s="40"/>
      <c r="E32" s="40">
        <v>40205</v>
      </c>
      <c r="F32" s="66"/>
      <c r="G32" s="66"/>
      <c r="H32" s="97">
        <v>194000</v>
      </c>
      <c r="I32" s="67">
        <f>50911+76305+66784</f>
        <v>194000</v>
      </c>
      <c r="J32" s="40">
        <v>39695</v>
      </c>
      <c r="K32" s="40">
        <v>40122</v>
      </c>
      <c r="L32" s="40">
        <v>40126</v>
      </c>
      <c r="M32" s="40">
        <v>40452</v>
      </c>
      <c r="N32" s="40"/>
      <c r="O32" s="40">
        <v>40284</v>
      </c>
      <c r="P32" s="65" t="s">
        <v>209</v>
      </c>
      <c r="Q32" s="65"/>
      <c r="R32" s="69">
        <v>0</v>
      </c>
      <c r="S32" s="65">
        <v>2</v>
      </c>
    </row>
    <row r="33" spans="1:53" s="43" customFormat="1" ht="19.5" customHeight="1">
      <c r="A33" s="91" t="s">
        <v>276</v>
      </c>
      <c r="B33" s="65" t="s">
        <v>230</v>
      </c>
      <c r="C33" s="71" t="s">
        <v>72</v>
      </c>
      <c r="D33" s="40">
        <v>39693</v>
      </c>
      <c r="E33" s="40">
        <v>40191</v>
      </c>
      <c r="F33" s="66"/>
      <c r="G33" s="66"/>
      <c r="H33" s="97">
        <v>459000</v>
      </c>
      <c r="I33" s="67">
        <f>459000</f>
        <v>459000</v>
      </c>
      <c r="J33" s="40">
        <v>39750</v>
      </c>
      <c r="K33" s="40">
        <v>39981</v>
      </c>
      <c r="L33" s="40">
        <v>39679</v>
      </c>
      <c r="M33" s="40">
        <v>40571</v>
      </c>
      <c r="N33" s="40"/>
      <c r="O33" s="40">
        <v>40193</v>
      </c>
      <c r="P33" s="65" t="s">
        <v>196</v>
      </c>
      <c r="Q33" s="65" t="s">
        <v>36</v>
      </c>
      <c r="R33" s="69">
        <v>0</v>
      </c>
      <c r="S33" s="65">
        <v>2</v>
      </c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</row>
    <row r="34" spans="1:19" s="112" customFormat="1" ht="19.5" customHeight="1">
      <c r="A34" s="104" t="s">
        <v>271</v>
      </c>
      <c r="B34" s="105" t="s">
        <v>249</v>
      </c>
      <c r="C34" s="106" t="s">
        <v>72</v>
      </c>
      <c r="D34" s="107"/>
      <c r="E34" s="107">
        <v>40135</v>
      </c>
      <c r="F34" s="108"/>
      <c r="G34" s="108"/>
      <c r="H34" s="109">
        <v>93000</v>
      </c>
      <c r="I34" s="110">
        <f>4596.37+88403.63</f>
        <v>93000</v>
      </c>
      <c r="J34" s="107">
        <v>40023</v>
      </c>
      <c r="K34" s="107">
        <v>40046</v>
      </c>
      <c r="L34" s="107">
        <v>40113</v>
      </c>
      <c r="M34" s="113">
        <v>40646</v>
      </c>
      <c r="N34" s="113"/>
      <c r="O34" s="113">
        <v>40249</v>
      </c>
      <c r="P34" s="105"/>
      <c r="Q34" s="105"/>
      <c r="R34" s="111">
        <v>0</v>
      </c>
      <c r="S34" s="105">
        <v>4</v>
      </c>
    </row>
    <row r="35" spans="1:19" s="100" customFormat="1" ht="19.5" customHeight="1">
      <c r="A35" s="91" t="s">
        <v>304</v>
      </c>
      <c r="B35" s="98" t="s">
        <v>250</v>
      </c>
      <c r="C35" s="96" t="s">
        <v>73</v>
      </c>
      <c r="D35" s="95"/>
      <c r="E35" s="95">
        <v>40205</v>
      </c>
      <c r="F35" s="93"/>
      <c r="G35" s="93"/>
      <c r="H35" s="97">
        <v>21000</v>
      </c>
      <c r="I35" s="97">
        <f>1267.5+19732.5</f>
        <v>21000</v>
      </c>
      <c r="J35" s="95">
        <v>40037</v>
      </c>
      <c r="K35" s="95">
        <v>40157</v>
      </c>
      <c r="L35" s="95">
        <v>40169</v>
      </c>
      <c r="M35" s="95">
        <v>40548</v>
      </c>
      <c r="N35" s="95"/>
      <c r="O35" s="95">
        <v>40494</v>
      </c>
      <c r="P35" s="98" t="s">
        <v>262</v>
      </c>
      <c r="Q35" s="98" t="s">
        <v>263</v>
      </c>
      <c r="R35" s="99">
        <v>0</v>
      </c>
      <c r="S35" s="98">
        <v>2</v>
      </c>
    </row>
    <row r="36" spans="1:53" s="43" customFormat="1" ht="19.5" customHeight="1">
      <c r="A36" s="41" t="s">
        <v>278</v>
      </c>
      <c r="B36" s="76" t="s">
        <v>296</v>
      </c>
      <c r="C36" s="70" t="s">
        <v>71</v>
      </c>
      <c r="D36" s="36"/>
      <c r="E36" s="36">
        <v>40205</v>
      </c>
      <c r="F36" s="75"/>
      <c r="G36" s="75"/>
      <c r="H36" s="97">
        <v>2000000</v>
      </c>
      <c r="I36" s="38">
        <f>1703916.28+185770.18+110313.54</f>
        <v>2000000</v>
      </c>
      <c r="J36" s="36">
        <v>39759</v>
      </c>
      <c r="K36" s="36">
        <v>40000</v>
      </c>
      <c r="L36" s="36">
        <v>40009</v>
      </c>
      <c r="M36" s="36">
        <v>41282</v>
      </c>
      <c r="N36" s="36"/>
      <c r="O36" s="36">
        <v>40662</v>
      </c>
      <c r="P36" s="76"/>
      <c r="Q36" s="76"/>
      <c r="R36" s="77">
        <v>0</v>
      </c>
      <c r="S36" s="76">
        <v>4</v>
      </c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</row>
    <row r="37" spans="1:19" s="100" customFormat="1" ht="19.5" customHeight="1">
      <c r="A37" s="91" t="s">
        <v>284</v>
      </c>
      <c r="B37" s="98" t="s">
        <v>221</v>
      </c>
      <c r="C37" s="96" t="s">
        <v>71</v>
      </c>
      <c r="D37" s="95"/>
      <c r="E37" s="95">
        <v>40224</v>
      </c>
      <c r="F37" s="93"/>
      <c r="G37" s="93"/>
      <c r="H37" s="97">
        <v>337000</v>
      </c>
      <c r="I37" s="97">
        <f>31610+17562.84+20985.5+4500+251925.23+10416.43</f>
        <v>337000</v>
      </c>
      <c r="J37" s="95">
        <v>40148</v>
      </c>
      <c r="K37" s="95">
        <v>40184</v>
      </c>
      <c r="L37" s="95">
        <v>40214</v>
      </c>
      <c r="M37" s="40">
        <v>40544</v>
      </c>
      <c r="N37" s="95"/>
      <c r="O37" s="95">
        <v>40438</v>
      </c>
      <c r="P37" s="98"/>
      <c r="Q37" s="98"/>
      <c r="R37" s="99">
        <v>0</v>
      </c>
      <c r="S37" s="98">
        <v>1</v>
      </c>
    </row>
    <row r="38" spans="1:53" s="43" customFormat="1" ht="19.5" customHeight="1">
      <c r="A38" s="91" t="s">
        <v>280</v>
      </c>
      <c r="B38" s="65" t="s">
        <v>232</v>
      </c>
      <c r="C38" s="72" t="s">
        <v>72</v>
      </c>
      <c r="D38" s="40"/>
      <c r="E38" s="40">
        <v>40221</v>
      </c>
      <c r="F38" s="66"/>
      <c r="G38" s="66"/>
      <c r="H38" s="97">
        <v>167000</v>
      </c>
      <c r="I38" s="67">
        <f>21017.16+15552.43+37466.18+50122.67+42841.56</f>
        <v>167000</v>
      </c>
      <c r="J38" s="40">
        <v>39905</v>
      </c>
      <c r="K38" s="40">
        <v>40074</v>
      </c>
      <c r="L38" s="40">
        <v>40147</v>
      </c>
      <c r="M38" s="94">
        <v>40632</v>
      </c>
      <c r="N38" s="40"/>
      <c r="O38" s="40"/>
      <c r="P38" s="65" t="s">
        <v>33</v>
      </c>
      <c r="Q38" s="65" t="s">
        <v>253</v>
      </c>
      <c r="R38" s="69">
        <v>0</v>
      </c>
      <c r="S38" s="65">
        <v>1</v>
      </c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</row>
    <row r="39" spans="1:53" s="43" customFormat="1" ht="19.5" customHeight="1">
      <c r="A39" s="91" t="s">
        <v>289</v>
      </c>
      <c r="B39" s="65" t="s">
        <v>235</v>
      </c>
      <c r="C39" s="71" t="s">
        <v>72</v>
      </c>
      <c r="D39" s="40"/>
      <c r="E39" s="40">
        <v>40205</v>
      </c>
      <c r="F39" s="66"/>
      <c r="G39" s="66"/>
      <c r="H39" s="97">
        <v>1785000</v>
      </c>
      <c r="I39" s="67">
        <f>1104901.89+680098.11</f>
        <v>1785000</v>
      </c>
      <c r="J39" s="40">
        <v>40029</v>
      </c>
      <c r="K39" s="40">
        <v>40113</v>
      </c>
      <c r="L39" s="40">
        <v>40130</v>
      </c>
      <c r="M39" s="68">
        <v>40773</v>
      </c>
      <c r="N39" s="40"/>
      <c r="O39" s="40">
        <v>40403</v>
      </c>
      <c r="P39" s="65"/>
      <c r="Q39" s="65" t="s">
        <v>253</v>
      </c>
      <c r="R39" s="69">
        <v>0</v>
      </c>
      <c r="S39" s="65">
        <v>3</v>
      </c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</row>
    <row r="40" spans="1:53" s="43" customFormat="1" ht="19.5" customHeight="1">
      <c r="A40" s="91" t="s">
        <v>292</v>
      </c>
      <c r="B40" s="65" t="s">
        <v>224</v>
      </c>
      <c r="C40" s="70" t="s">
        <v>71</v>
      </c>
      <c r="D40" s="40"/>
      <c r="E40" s="40">
        <v>40205</v>
      </c>
      <c r="F40" s="66"/>
      <c r="G40" s="45"/>
      <c r="H40" s="97">
        <v>308000</v>
      </c>
      <c r="I40" s="67">
        <f>40293.18+36505.59+40281.32+50128.95+140790.96</f>
        <v>308000</v>
      </c>
      <c r="J40" s="40">
        <v>39661</v>
      </c>
      <c r="K40" s="40">
        <v>40122</v>
      </c>
      <c r="L40" s="68">
        <v>40155</v>
      </c>
      <c r="M40" s="68">
        <v>40542</v>
      </c>
      <c r="N40" s="37"/>
      <c r="O40" s="37">
        <v>40473</v>
      </c>
      <c r="P40" s="65"/>
      <c r="Q40" s="65"/>
      <c r="R40" s="69">
        <v>0</v>
      </c>
      <c r="S40" s="65">
        <v>2</v>
      </c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</row>
    <row r="41" spans="1:19" ht="19.5" customHeight="1">
      <c r="A41" s="91" t="s">
        <v>285</v>
      </c>
      <c r="B41" s="65" t="s">
        <v>236</v>
      </c>
      <c r="C41" s="72" t="s">
        <v>72</v>
      </c>
      <c r="D41" s="40"/>
      <c r="E41" s="40">
        <v>40191</v>
      </c>
      <c r="F41" s="66"/>
      <c r="G41" s="66"/>
      <c r="H41" s="38">
        <v>355000</v>
      </c>
      <c r="I41" s="67">
        <f>11461.88+2370.1+91930.08+133385.74+57985.84+57866.36</f>
        <v>355000</v>
      </c>
      <c r="J41" s="40">
        <v>39948</v>
      </c>
      <c r="K41" s="40">
        <v>40052</v>
      </c>
      <c r="L41" s="68">
        <v>40176</v>
      </c>
      <c r="M41" s="68">
        <v>40532</v>
      </c>
      <c r="N41" s="37">
        <v>40555</v>
      </c>
      <c r="O41" s="37">
        <v>40382</v>
      </c>
      <c r="P41" s="65"/>
      <c r="Q41" s="65"/>
      <c r="R41" s="69">
        <v>0</v>
      </c>
      <c r="S41" s="65">
        <v>2</v>
      </c>
    </row>
    <row r="42" spans="1:19" s="112" customFormat="1" ht="19.5" customHeight="1">
      <c r="A42" s="104" t="s">
        <v>282</v>
      </c>
      <c r="B42" s="105" t="s">
        <v>248</v>
      </c>
      <c r="C42" s="106" t="s">
        <v>72</v>
      </c>
      <c r="D42" s="107"/>
      <c r="E42" s="107">
        <v>40220</v>
      </c>
      <c r="F42" s="108"/>
      <c r="G42" s="108"/>
      <c r="H42" s="109">
        <v>332000</v>
      </c>
      <c r="I42" s="110">
        <f>27830+6741.18+38240+77760+21690+158280+1458.82</f>
        <v>332000</v>
      </c>
      <c r="J42" s="107">
        <v>40072</v>
      </c>
      <c r="K42" s="107">
        <v>40162</v>
      </c>
      <c r="L42" s="113">
        <v>40176</v>
      </c>
      <c r="M42" s="113">
        <v>41485</v>
      </c>
      <c r="N42" s="113"/>
      <c r="O42" s="113">
        <v>40396</v>
      </c>
      <c r="P42" s="105"/>
      <c r="Q42" s="105"/>
      <c r="R42" s="111">
        <v>0</v>
      </c>
      <c r="S42" s="105">
        <v>4</v>
      </c>
    </row>
    <row r="43" spans="1:53" s="43" customFormat="1" ht="19.5" customHeight="1">
      <c r="A43" s="91" t="s">
        <v>267</v>
      </c>
      <c r="B43" s="65" t="s">
        <v>228</v>
      </c>
      <c r="C43" s="71" t="s">
        <v>71</v>
      </c>
      <c r="D43" s="40"/>
      <c r="E43" s="40">
        <v>40100</v>
      </c>
      <c r="F43" s="66"/>
      <c r="G43" s="66"/>
      <c r="H43" s="97">
        <v>312000</v>
      </c>
      <c r="I43" s="67">
        <f>153024.58+80784.48+9949.46+53317.44+2660+11942+322.04</f>
        <v>311999.99999999994</v>
      </c>
      <c r="J43" s="40">
        <v>39715</v>
      </c>
      <c r="K43" s="40">
        <v>39891</v>
      </c>
      <c r="L43" s="40">
        <v>40023</v>
      </c>
      <c r="M43" s="40">
        <v>40402</v>
      </c>
      <c r="N43" s="40"/>
      <c r="O43" s="40">
        <v>40249</v>
      </c>
      <c r="P43" s="65"/>
      <c r="Q43" s="65"/>
      <c r="R43" s="69">
        <v>0</v>
      </c>
      <c r="S43" s="65">
        <v>2</v>
      </c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</row>
    <row r="45" spans="8:9" ht="12" customHeight="1">
      <c r="H45" s="79"/>
      <c r="I45" s="79"/>
    </row>
    <row r="46" spans="1:9" ht="12" customHeight="1">
      <c r="A46" s="46" t="s">
        <v>38</v>
      </c>
      <c r="H46" s="39">
        <f>SUM(H6:H45)</f>
        <v>24293000</v>
      </c>
      <c r="I46" s="39">
        <f>SUM(I6:I45)</f>
        <v>24293000</v>
      </c>
    </row>
    <row r="47" ht="12" customHeight="1">
      <c r="A47" s="46"/>
    </row>
    <row r="49" spans="9:10" ht="12" customHeight="1">
      <c r="I49" s="39">
        <f>H46+H49-I46</f>
        <v>0</v>
      </c>
      <c r="J49" s="92" t="s">
        <v>310</v>
      </c>
    </row>
    <row r="50" ht="12" customHeight="1">
      <c r="J50" s="92"/>
    </row>
    <row r="51" ht="12" customHeight="1">
      <c r="J51" s="92"/>
    </row>
    <row r="52" spans="9:10" ht="12" customHeight="1">
      <c r="I52" s="39">
        <v>24293000</v>
      </c>
      <c r="J52" s="92" t="s">
        <v>309</v>
      </c>
    </row>
    <row r="53" spans="9:10" ht="12" customHeight="1">
      <c r="I53" s="39">
        <v>0</v>
      </c>
      <c r="J53" s="92" t="s">
        <v>308</v>
      </c>
    </row>
    <row r="54" spans="6:8" ht="12" customHeight="1">
      <c r="F54" s="81"/>
      <c r="G54" s="82"/>
      <c r="H54" s="83"/>
    </row>
    <row r="55" spans="6:10" ht="12" customHeight="1">
      <c r="F55" s="81"/>
      <c r="G55" s="82"/>
      <c r="H55" s="83"/>
      <c r="I55" s="39">
        <v>24145905.49</v>
      </c>
      <c r="J55" s="92" t="s">
        <v>299</v>
      </c>
    </row>
    <row r="56" spans="6:10" ht="12" customHeight="1">
      <c r="F56" s="81"/>
      <c r="G56" s="82"/>
      <c r="H56" s="83"/>
      <c r="I56" s="39">
        <v>147094.51</v>
      </c>
      <c r="J56" s="92" t="s">
        <v>300</v>
      </c>
    </row>
    <row r="58" spans="9:10" ht="12" customHeight="1">
      <c r="I58" s="39">
        <v>17462219.87</v>
      </c>
      <c r="J58" s="92" t="s">
        <v>266</v>
      </c>
    </row>
    <row r="59" spans="9:10" ht="12" customHeight="1">
      <c r="I59" s="39">
        <v>6830780.13</v>
      </c>
      <c r="J59" s="92" t="s">
        <v>265</v>
      </c>
    </row>
  </sheetData>
  <sheetProtection/>
  <printOptions horizontalCentered="1"/>
  <pageMargins left="0.236220472440945" right="0.236220472440945" top="0.511811023622047" bottom="0.511811023622047" header="0" footer="0"/>
  <pageSetup horizontalDpi="300" verticalDpi="300" orientation="landscape" scale="70" r:id="rId3"/>
  <headerFooter alignWithMargins="0">
    <oddHeader>&amp;C&amp;"Arial,Bold"&amp;11IOWA DEPARTMENT OF NATURAL RESOURCES
DWSRF STATUS REPORT
June 30, 2009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S55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" sqref="A7"/>
    </sheetView>
  </sheetViews>
  <sheetFormatPr defaultColWidth="9.625" defaultRowHeight="12" customHeight="1"/>
  <cols>
    <col min="1" max="1" width="23.625" style="2" customWidth="1"/>
    <col min="2" max="2" width="18.125" style="1" customWidth="1"/>
    <col min="3" max="3" width="4.75390625" style="1" customWidth="1"/>
    <col min="4" max="4" width="10.375" style="23" customWidth="1"/>
    <col min="5" max="5" width="12.25390625" style="23" customWidth="1"/>
    <col min="6" max="7" width="6.75390625" style="3" customWidth="1"/>
    <col min="8" max="9" width="12.00390625" style="14" bestFit="1" customWidth="1"/>
    <col min="10" max="10" width="11.625" style="23" customWidth="1"/>
    <col min="11" max="11" width="10.875" style="23" customWidth="1"/>
    <col min="12" max="12" width="9.125" style="23" customWidth="1"/>
    <col min="13" max="13" width="10.75390625" style="23" customWidth="1"/>
    <col min="14" max="14" width="8.875" style="23" customWidth="1"/>
    <col min="15" max="15" width="9.125" style="23" customWidth="1"/>
    <col min="16" max="16" width="7.375" style="1" customWidth="1"/>
    <col min="17" max="17" width="20.375" style="1" customWidth="1"/>
    <col min="18" max="16384" width="9.625" style="1" customWidth="1"/>
  </cols>
  <sheetData>
    <row r="1" ht="12" customHeight="1">
      <c r="A1" s="35"/>
    </row>
    <row r="3" ht="12" customHeight="1">
      <c r="A3" s="84"/>
    </row>
    <row r="4" spans="1:16" s="8" customFormat="1" ht="12" customHeight="1">
      <c r="A4" s="4"/>
      <c r="B4" s="5" t="s">
        <v>0</v>
      </c>
      <c r="C4" s="5" t="s">
        <v>1</v>
      </c>
      <c r="D4" s="21" t="s">
        <v>2</v>
      </c>
      <c r="E4" s="21" t="s">
        <v>3</v>
      </c>
      <c r="F4" s="6"/>
      <c r="G4" s="6"/>
      <c r="H4" s="7" t="s">
        <v>4</v>
      </c>
      <c r="I4" s="7" t="s">
        <v>5</v>
      </c>
      <c r="J4" s="21" t="s">
        <v>128</v>
      </c>
      <c r="K4" s="21" t="s">
        <v>6</v>
      </c>
      <c r="L4" s="21" t="s">
        <v>6</v>
      </c>
      <c r="M4" s="21" t="s">
        <v>7</v>
      </c>
      <c r="N4" s="21" t="s">
        <v>8</v>
      </c>
      <c r="O4" s="21" t="s">
        <v>8</v>
      </c>
      <c r="P4" s="5" t="s">
        <v>9</v>
      </c>
    </row>
    <row r="5" spans="1:17" s="8" customFormat="1" ht="12" customHeight="1">
      <c r="A5" s="9" t="s">
        <v>12</v>
      </c>
      <c r="B5" s="5" t="s">
        <v>13</v>
      </c>
      <c r="C5" s="5" t="s">
        <v>14</v>
      </c>
      <c r="D5" s="21" t="s">
        <v>41</v>
      </c>
      <c r="E5" s="21" t="s">
        <v>15</v>
      </c>
      <c r="F5" s="6" t="s">
        <v>96</v>
      </c>
      <c r="G5" s="6" t="s">
        <v>100</v>
      </c>
      <c r="H5" s="7" t="s">
        <v>16</v>
      </c>
      <c r="I5" s="7" t="s">
        <v>17</v>
      </c>
      <c r="J5" s="21" t="s">
        <v>39</v>
      </c>
      <c r="K5" s="21" t="s">
        <v>40</v>
      </c>
      <c r="L5" s="21" t="s">
        <v>18</v>
      </c>
      <c r="M5" s="21" t="s">
        <v>19</v>
      </c>
      <c r="N5" s="21" t="s">
        <v>20</v>
      </c>
      <c r="O5" s="21" t="s">
        <v>56</v>
      </c>
      <c r="P5" s="5" t="s">
        <v>21</v>
      </c>
      <c r="Q5" s="5" t="s">
        <v>22</v>
      </c>
    </row>
    <row r="6" spans="1:17" s="8" customFormat="1" ht="12" customHeight="1">
      <c r="A6" s="9"/>
      <c r="B6" s="5"/>
      <c r="C6" s="5"/>
      <c r="D6" s="21"/>
      <c r="E6" s="21"/>
      <c r="F6" s="6"/>
      <c r="G6" s="6"/>
      <c r="H6" s="7"/>
      <c r="I6" s="7"/>
      <c r="J6" s="21"/>
      <c r="K6" s="21"/>
      <c r="L6" s="21"/>
      <c r="M6" s="21"/>
      <c r="N6" s="21"/>
      <c r="O6" s="21"/>
      <c r="P6" s="5"/>
      <c r="Q6" s="5"/>
    </row>
    <row r="7" spans="1:17" ht="32.25" customHeight="1">
      <c r="A7" s="27" t="s">
        <v>205</v>
      </c>
      <c r="B7" s="28"/>
      <c r="C7" s="29"/>
      <c r="D7" s="30"/>
      <c r="E7" s="31"/>
      <c r="F7" s="32"/>
      <c r="G7" s="32"/>
      <c r="H7" s="33"/>
      <c r="I7" s="33"/>
      <c r="J7" s="34"/>
      <c r="K7" s="31"/>
      <c r="L7" s="31"/>
      <c r="M7" s="31"/>
      <c r="N7" s="31"/>
      <c r="O7" s="34"/>
      <c r="P7" s="31"/>
      <c r="Q7" s="31"/>
    </row>
    <row r="8" spans="1:17" ht="19.5" customHeight="1">
      <c r="A8" s="19" t="s">
        <v>25</v>
      </c>
      <c r="B8" s="11" t="s">
        <v>45</v>
      </c>
      <c r="C8" s="1">
        <v>97</v>
      </c>
      <c r="D8" s="22">
        <v>35828</v>
      </c>
      <c r="E8" s="22">
        <v>38055</v>
      </c>
      <c r="F8" s="12" t="s">
        <v>97</v>
      </c>
      <c r="G8" s="12"/>
      <c r="H8" s="15">
        <v>530000</v>
      </c>
      <c r="I8" s="15">
        <f>5300+206045.51+46490.75+120682.44+27000</f>
        <v>405518.7</v>
      </c>
      <c r="J8" s="22">
        <v>36789</v>
      </c>
      <c r="K8" s="22">
        <v>36880</v>
      </c>
      <c r="L8" s="25">
        <v>36838</v>
      </c>
      <c r="M8" s="25">
        <v>38260</v>
      </c>
      <c r="N8" s="23">
        <v>38527</v>
      </c>
      <c r="O8" s="22"/>
      <c r="P8" s="11" t="s">
        <v>149</v>
      </c>
      <c r="Q8" s="11" t="s">
        <v>46</v>
      </c>
    </row>
    <row r="9" spans="1:17" ht="19.5" customHeight="1">
      <c r="A9" s="19" t="s">
        <v>104</v>
      </c>
      <c r="B9" s="11" t="s">
        <v>105</v>
      </c>
      <c r="C9" s="17" t="s">
        <v>65</v>
      </c>
      <c r="D9" s="22">
        <v>37335</v>
      </c>
      <c r="E9" s="22">
        <v>38160</v>
      </c>
      <c r="F9" s="12" t="s">
        <v>98</v>
      </c>
      <c r="G9" s="12"/>
      <c r="H9" s="15">
        <f>530000+163000</f>
        <v>693000</v>
      </c>
      <c r="I9" s="15">
        <f>(5300+62307.5+214557.5+115149.41+103785.67+28899.92)+1630+56867+68913.18+5166.22+17772.8</f>
        <v>680349.2</v>
      </c>
      <c r="J9" s="22">
        <v>37902</v>
      </c>
      <c r="K9" s="22">
        <v>38030</v>
      </c>
      <c r="L9" s="25">
        <v>38096</v>
      </c>
      <c r="M9" s="25"/>
      <c r="O9" s="22"/>
      <c r="P9" s="11" t="s">
        <v>149</v>
      </c>
      <c r="Q9" s="11" t="s">
        <v>52</v>
      </c>
    </row>
    <row r="10" spans="1:17" ht="19.5" customHeight="1">
      <c r="A10" s="19" t="s">
        <v>109</v>
      </c>
      <c r="B10" s="11" t="s">
        <v>153</v>
      </c>
      <c r="C10" s="16" t="s">
        <v>67</v>
      </c>
      <c r="D10" s="22">
        <v>37866</v>
      </c>
      <c r="E10" s="22">
        <v>38188</v>
      </c>
      <c r="F10" s="12" t="s">
        <v>194</v>
      </c>
      <c r="G10" s="12"/>
      <c r="H10" s="15">
        <f>183000</f>
        <v>183000</v>
      </c>
      <c r="I10" s="15">
        <f>1830+103656.99</f>
        <v>105486.99</v>
      </c>
      <c r="J10" s="22">
        <v>38121</v>
      </c>
      <c r="K10" s="22">
        <v>38156</v>
      </c>
      <c r="L10" s="24">
        <v>38201</v>
      </c>
      <c r="M10" s="24"/>
      <c r="N10" s="22"/>
      <c r="O10" s="22"/>
      <c r="P10" s="11" t="s">
        <v>92</v>
      </c>
      <c r="Q10" s="11" t="s">
        <v>36</v>
      </c>
    </row>
    <row r="11" spans="1:17" ht="19.5" customHeight="1">
      <c r="A11" s="10" t="s">
        <v>117</v>
      </c>
      <c r="B11" s="11" t="s">
        <v>118</v>
      </c>
      <c r="C11" s="17" t="s">
        <v>65</v>
      </c>
      <c r="D11" s="22">
        <v>37299</v>
      </c>
      <c r="E11" s="22">
        <v>38293</v>
      </c>
      <c r="F11" s="12" t="s">
        <v>97</v>
      </c>
      <c r="G11" s="12" t="s">
        <v>102</v>
      </c>
      <c r="H11" s="15">
        <f>555000</f>
        <v>555000</v>
      </c>
      <c r="I11" s="15">
        <f>5550+72249.84+114814.73+6181+18239.95+78213.21+244361.77</f>
        <v>539610.5</v>
      </c>
      <c r="J11" s="22">
        <v>38054</v>
      </c>
      <c r="K11" s="22">
        <v>38288</v>
      </c>
      <c r="L11" s="25">
        <v>38295</v>
      </c>
      <c r="M11" s="25"/>
      <c r="P11" s="11" t="s">
        <v>149</v>
      </c>
      <c r="Q11" s="11" t="s">
        <v>147</v>
      </c>
    </row>
    <row r="12" spans="1:17" ht="19.5" customHeight="1">
      <c r="A12" s="10" t="s">
        <v>136</v>
      </c>
      <c r="B12" s="11" t="s">
        <v>137</v>
      </c>
      <c r="C12" s="17" t="s">
        <v>66</v>
      </c>
      <c r="D12" s="22">
        <v>37568</v>
      </c>
      <c r="E12" s="22">
        <v>38224</v>
      </c>
      <c r="F12" s="12" t="s">
        <v>97</v>
      </c>
      <c r="G12" s="12" t="s">
        <v>102</v>
      </c>
      <c r="H12" s="15">
        <f>610000</f>
        <v>610000</v>
      </c>
      <c r="I12" s="15">
        <f>6100+36070+142930.52+149227.1+7098.28+79160.63+25860.41+2360+97041.74+4157.5+14022.39+8640.3+23322.76+12008.37</f>
        <v>608000.0000000001</v>
      </c>
      <c r="J12" s="22">
        <v>38089</v>
      </c>
      <c r="K12" s="22">
        <v>38127</v>
      </c>
      <c r="L12" s="25">
        <v>38162</v>
      </c>
      <c r="M12" s="25"/>
      <c r="N12" s="23">
        <v>38736</v>
      </c>
      <c r="P12" s="11" t="s">
        <v>92</v>
      </c>
      <c r="Q12" s="11" t="s">
        <v>42</v>
      </c>
    </row>
    <row r="13" spans="1:17" ht="19.5" customHeight="1">
      <c r="A13" s="116" t="s">
        <v>144</v>
      </c>
      <c r="B13" s="11" t="s">
        <v>145</v>
      </c>
      <c r="C13" s="17" t="s">
        <v>69</v>
      </c>
      <c r="D13" s="22">
        <v>38566</v>
      </c>
      <c r="E13" s="22">
        <v>38644</v>
      </c>
      <c r="F13" s="12" t="s">
        <v>97</v>
      </c>
      <c r="G13" s="12"/>
      <c r="H13" s="15">
        <f>100000</f>
        <v>100000</v>
      </c>
      <c r="I13" s="15">
        <f>1000+19348.56</f>
        <v>20348.56</v>
      </c>
      <c r="J13" s="22">
        <v>38100</v>
      </c>
      <c r="K13" s="22">
        <v>38142</v>
      </c>
      <c r="L13" s="25">
        <v>38152</v>
      </c>
      <c r="M13" s="25"/>
      <c r="P13" s="11" t="s">
        <v>33</v>
      </c>
      <c r="Q13" s="11" t="s">
        <v>146</v>
      </c>
    </row>
    <row r="14" spans="1:17" ht="19.5" customHeight="1">
      <c r="A14" s="10" t="s">
        <v>142</v>
      </c>
      <c r="B14" s="11" t="s">
        <v>143</v>
      </c>
      <c r="C14" s="17" t="s">
        <v>66</v>
      </c>
      <c r="D14" s="22">
        <v>37529</v>
      </c>
      <c r="E14" s="22">
        <v>38259</v>
      </c>
      <c r="F14" s="12" t="s">
        <v>97</v>
      </c>
      <c r="G14" s="12" t="s">
        <v>102</v>
      </c>
      <c r="H14" s="15">
        <v>1193000</v>
      </c>
      <c r="I14" s="15">
        <f>11930+134204+70279+43187+49852+101359+117518+192528+115116+72554+30111+18832+14233+167981.02</f>
        <v>1139684.02</v>
      </c>
      <c r="J14" s="22">
        <v>38180</v>
      </c>
      <c r="K14" s="22">
        <v>38225</v>
      </c>
      <c r="L14" s="25">
        <v>38264</v>
      </c>
      <c r="M14" s="25"/>
      <c r="P14" s="11" t="s">
        <v>92</v>
      </c>
      <c r="Q14" s="11" t="s">
        <v>116</v>
      </c>
    </row>
    <row r="15" spans="1:17" ht="19.5" customHeight="1">
      <c r="A15" s="2" t="s">
        <v>28</v>
      </c>
      <c r="B15" s="1" t="s">
        <v>48</v>
      </c>
      <c r="C15" s="17" t="s">
        <v>65</v>
      </c>
      <c r="D15" s="23">
        <v>37574</v>
      </c>
      <c r="E15" s="23">
        <v>37727</v>
      </c>
      <c r="F15" s="3" t="s">
        <v>97</v>
      </c>
      <c r="H15" s="14">
        <v>64000</v>
      </c>
      <c r="I15" s="14">
        <f>640+38331.75+23028.25</f>
        <v>62000</v>
      </c>
      <c r="J15" s="23">
        <v>37200</v>
      </c>
      <c r="K15" s="23">
        <v>37267</v>
      </c>
      <c r="L15" s="25">
        <v>37271</v>
      </c>
      <c r="M15" s="25"/>
      <c r="N15" s="23">
        <v>38051</v>
      </c>
      <c r="P15" s="1" t="s">
        <v>30</v>
      </c>
      <c r="Q15" s="1" t="s">
        <v>49</v>
      </c>
    </row>
    <row r="16" spans="1:17" ht="19.5" customHeight="1">
      <c r="A16" s="103" t="s">
        <v>58</v>
      </c>
      <c r="B16" s="1" t="s">
        <v>60</v>
      </c>
      <c r="C16" s="17" t="s">
        <v>57</v>
      </c>
      <c r="D16" s="23" t="s">
        <v>61</v>
      </c>
      <c r="E16" s="23">
        <v>37658</v>
      </c>
      <c r="F16" s="3" t="s">
        <v>97</v>
      </c>
      <c r="H16" s="14">
        <f>5900000</f>
        <v>5900000</v>
      </c>
      <c r="I16" s="14">
        <f>59000+5103459.52+284517.12+349342.77</f>
        <v>5796319.41</v>
      </c>
      <c r="J16" s="23">
        <v>37166</v>
      </c>
      <c r="K16" s="23">
        <v>37259</v>
      </c>
      <c r="L16" s="25">
        <v>37377</v>
      </c>
      <c r="M16" s="25"/>
      <c r="N16" s="23">
        <v>38188</v>
      </c>
      <c r="P16" s="1" t="s">
        <v>27</v>
      </c>
      <c r="Q16" s="1" t="s">
        <v>62</v>
      </c>
    </row>
    <row r="17" spans="1:17" ht="19.5" customHeight="1">
      <c r="A17" s="2" t="s">
        <v>130</v>
      </c>
      <c r="B17" s="1" t="s">
        <v>131</v>
      </c>
      <c r="C17" s="17" t="s">
        <v>66</v>
      </c>
      <c r="D17" s="23">
        <v>37524</v>
      </c>
      <c r="E17" s="23">
        <v>38175</v>
      </c>
      <c r="F17" s="3" t="s">
        <v>98</v>
      </c>
      <c r="H17" s="14">
        <f>460000+100000</f>
        <v>560000</v>
      </c>
      <c r="I17" s="14">
        <f>1000+4600+51880.75+17967.36+29151.89+130483.17+8921.59+16012.52+11154.88+19468.09+40911.86+17764.24+17166.52+13977.48+1644.36+27123.93+3387.97+880.41</f>
        <v>413497.0199999999</v>
      </c>
      <c r="J17" s="23">
        <v>37889</v>
      </c>
      <c r="K17" s="23">
        <v>38079</v>
      </c>
      <c r="L17" s="25">
        <v>38152</v>
      </c>
      <c r="M17" s="25"/>
      <c r="P17" s="11" t="s">
        <v>149</v>
      </c>
      <c r="Q17" s="1" t="s">
        <v>148</v>
      </c>
    </row>
    <row r="18" spans="1:17" ht="19.5" customHeight="1">
      <c r="A18" s="2" t="s">
        <v>167</v>
      </c>
      <c r="B18" s="1" t="s">
        <v>168</v>
      </c>
      <c r="C18" s="17" t="s">
        <v>67</v>
      </c>
      <c r="D18" s="23">
        <v>37862</v>
      </c>
      <c r="E18" s="23">
        <v>38489</v>
      </c>
      <c r="F18" s="3" t="s">
        <v>97</v>
      </c>
      <c r="G18" s="3" t="s">
        <v>102</v>
      </c>
      <c r="H18" s="14">
        <v>360000</v>
      </c>
      <c r="I18" s="14">
        <f>3600+54046.84+82404.38+77575.67+87326.93+24749.21+17530.88+10766.09</f>
        <v>358000.00000000006</v>
      </c>
      <c r="J18" s="23">
        <v>38420</v>
      </c>
      <c r="K18" s="23">
        <v>38454</v>
      </c>
      <c r="L18" s="25">
        <v>38462</v>
      </c>
      <c r="M18" s="25">
        <v>38670</v>
      </c>
      <c r="P18" s="11" t="s">
        <v>26</v>
      </c>
      <c r="Q18" s="1" t="s">
        <v>174</v>
      </c>
    </row>
    <row r="19" spans="1:17" ht="19.5" customHeight="1">
      <c r="A19" s="2" t="s">
        <v>169</v>
      </c>
      <c r="B19" s="1" t="s">
        <v>170</v>
      </c>
      <c r="C19" s="17" t="s">
        <v>67</v>
      </c>
      <c r="D19" s="23">
        <v>37867</v>
      </c>
      <c r="E19" s="23">
        <v>38505</v>
      </c>
      <c r="F19" s="3" t="s">
        <v>97</v>
      </c>
      <c r="G19" s="3" t="s">
        <v>102</v>
      </c>
      <c r="H19" s="14">
        <v>870000</v>
      </c>
      <c r="I19" s="14">
        <f>8700+179934.56+181783.92+259390.13+133803.12</f>
        <v>763611.73</v>
      </c>
      <c r="J19" s="23">
        <v>38223</v>
      </c>
      <c r="K19" s="23">
        <v>38275</v>
      </c>
      <c r="L19" s="25">
        <v>38342</v>
      </c>
      <c r="M19" s="25"/>
      <c r="P19" s="1" t="s">
        <v>92</v>
      </c>
      <c r="Q19" s="1" t="s">
        <v>42</v>
      </c>
    </row>
    <row r="20" spans="1:17" ht="19.5" customHeight="1">
      <c r="A20" s="19" t="s">
        <v>32</v>
      </c>
      <c r="B20" s="11" t="s">
        <v>125</v>
      </c>
      <c r="C20" s="17" t="s">
        <v>65</v>
      </c>
      <c r="D20" s="22">
        <v>37328</v>
      </c>
      <c r="E20" s="22">
        <v>37727</v>
      </c>
      <c r="F20" s="12" t="s">
        <v>99</v>
      </c>
      <c r="G20" s="12"/>
      <c r="H20" s="15">
        <v>500000</v>
      </c>
      <c r="I20" s="15">
        <f>5000+493000</f>
        <v>498000</v>
      </c>
      <c r="J20" s="22">
        <v>37090</v>
      </c>
      <c r="K20" s="22">
        <v>37139</v>
      </c>
      <c r="L20" s="24">
        <v>37591</v>
      </c>
      <c r="M20" s="24">
        <v>37768</v>
      </c>
      <c r="N20" s="22">
        <v>38034</v>
      </c>
      <c r="O20" s="22"/>
      <c r="P20" s="11" t="s">
        <v>92</v>
      </c>
      <c r="Q20" s="11" t="s">
        <v>47</v>
      </c>
    </row>
    <row r="21" spans="1:17" ht="19.5" customHeight="1">
      <c r="A21" s="19" t="s">
        <v>114</v>
      </c>
      <c r="B21" s="11" t="s">
        <v>115</v>
      </c>
      <c r="C21" s="16" t="s">
        <v>65</v>
      </c>
      <c r="D21" s="22">
        <v>37293</v>
      </c>
      <c r="E21" s="22">
        <v>37859</v>
      </c>
      <c r="F21" s="12" t="s">
        <v>97</v>
      </c>
      <c r="G21" s="12"/>
      <c r="H21" s="15">
        <f>1067000</f>
        <v>1067000</v>
      </c>
      <c r="I21" s="15">
        <f>10670+327591.37+66442.57+110561+19845.09+5347.58+15924.37+2163.86+231852.25+133460.81+96510.15+43743.13</f>
        <v>1064112.18</v>
      </c>
      <c r="J21" s="22">
        <v>37811</v>
      </c>
      <c r="K21" s="22">
        <v>37867</v>
      </c>
      <c r="L21" s="24">
        <v>37795</v>
      </c>
      <c r="M21" s="24"/>
      <c r="N21" s="22">
        <v>38329</v>
      </c>
      <c r="O21" s="22"/>
      <c r="P21" s="11" t="s">
        <v>196</v>
      </c>
      <c r="Q21" s="11" t="s">
        <v>116</v>
      </c>
    </row>
    <row r="22" spans="1:17" ht="19.5" customHeight="1">
      <c r="A22" s="18" t="s">
        <v>94</v>
      </c>
      <c r="B22" s="1" t="s">
        <v>198</v>
      </c>
      <c r="C22" s="17" t="s">
        <v>68</v>
      </c>
      <c r="D22" s="23">
        <v>37341</v>
      </c>
      <c r="E22" s="23">
        <v>38489</v>
      </c>
      <c r="F22" s="3" t="s">
        <v>97</v>
      </c>
      <c r="G22" s="3" t="s">
        <v>102</v>
      </c>
      <c r="H22" s="14">
        <v>600000</v>
      </c>
      <c r="I22" s="14">
        <f>6000+507599.12+84400.88</f>
        <v>598000</v>
      </c>
      <c r="J22" s="23">
        <v>37826</v>
      </c>
      <c r="K22" s="23">
        <v>37872</v>
      </c>
      <c r="L22" s="25">
        <v>37873</v>
      </c>
      <c r="M22" s="25"/>
      <c r="N22" s="23">
        <v>38702</v>
      </c>
      <c r="P22" s="1" t="s">
        <v>26</v>
      </c>
      <c r="Q22" s="1" t="s">
        <v>106</v>
      </c>
    </row>
    <row r="23" spans="1:17" ht="19.5" customHeight="1">
      <c r="A23" s="18" t="s">
        <v>158</v>
      </c>
      <c r="B23" s="1" t="s">
        <v>159</v>
      </c>
      <c r="C23" s="17" t="s">
        <v>67</v>
      </c>
      <c r="D23" s="23">
        <v>37720</v>
      </c>
      <c r="E23" s="23">
        <v>38464</v>
      </c>
      <c r="F23" s="3" t="s">
        <v>97</v>
      </c>
      <c r="G23" s="3" t="s">
        <v>102</v>
      </c>
      <c r="H23" s="14">
        <f>998000</f>
        <v>998000</v>
      </c>
      <c r="I23" s="14">
        <f>9980+632971+16749.7+138050.25+37905.54+15590.78+33374.6+5000</f>
        <v>889621.87</v>
      </c>
      <c r="J23" s="23">
        <v>38389</v>
      </c>
      <c r="K23" s="23">
        <v>38404</v>
      </c>
      <c r="L23" s="25">
        <v>38405</v>
      </c>
      <c r="M23" s="25"/>
      <c r="N23" s="23">
        <v>38607</v>
      </c>
      <c r="P23" s="1" t="s">
        <v>26</v>
      </c>
      <c r="Q23" s="1" t="s">
        <v>176</v>
      </c>
    </row>
    <row r="24" spans="1:17" ht="19.5" customHeight="1">
      <c r="A24" s="18" t="s">
        <v>184</v>
      </c>
      <c r="B24" s="1" t="s">
        <v>185</v>
      </c>
      <c r="C24" s="17" t="s">
        <v>68</v>
      </c>
      <c r="D24" s="23">
        <v>37860</v>
      </c>
      <c r="E24" s="23">
        <v>38419</v>
      </c>
      <c r="F24" s="3" t="s">
        <v>97</v>
      </c>
      <c r="G24" s="3" t="s">
        <v>102</v>
      </c>
      <c r="H24" s="14">
        <v>135000</v>
      </c>
      <c r="I24" s="14">
        <f>1350+30889.48+555.89+18129.96+22596.95+9119.08+39302.12+12056.52</f>
        <v>134000</v>
      </c>
      <c r="J24" s="23">
        <v>38258</v>
      </c>
      <c r="K24" s="23">
        <v>38324</v>
      </c>
      <c r="L24" s="25">
        <v>38353</v>
      </c>
      <c r="M24" s="25"/>
      <c r="N24" s="23">
        <v>38722</v>
      </c>
      <c r="P24" s="1" t="s">
        <v>195</v>
      </c>
      <c r="Q24" s="1" t="s">
        <v>62</v>
      </c>
    </row>
    <row r="25" spans="1:17" ht="19.5" customHeight="1">
      <c r="A25" s="18" t="s">
        <v>119</v>
      </c>
      <c r="B25" s="1" t="s">
        <v>120</v>
      </c>
      <c r="C25" s="17" t="s">
        <v>65</v>
      </c>
      <c r="D25" s="23">
        <v>37300</v>
      </c>
      <c r="E25" s="23">
        <v>37840</v>
      </c>
      <c r="F25" s="3" t="s">
        <v>98</v>
      </c>
      <c r="H25" s="14">
        <f>400000+300000</f>
        <v>700000</v>
      </c>
      <c r="I25" s="14">
        <f>(4000+46882.1+34468.9+20900.44+3176.58+849.42+61016.72+4507.96+39261.22+6717.1+81959.29+33061.54+4934.93+1181+16464.32+1506.71+1529.02+15898.75+17275.45+4408.55)+3000+447.8+1422.32+28129.88+17958.42+26127.14+61439.36+28787.5+27423.01+21638.3+6819.33+55432.68+2000</f>
        <v>680625.7400000001</v>
      </c>
      <c r="J25" s="23">
        <v>37781</v>
      </c>
      <c r="K25" s="23">
        <v>37873</v>
      </c>
      <c r="L25" s="25">
        <v>37726</v>
      </c>
      <c r="M25" s="25"/>
      <c r="N25" s="23">
        <v>38702</v>
      </c>
      <c r="P25" s="11" t="s">
        <v>149</v>
      </c>
      <c r="Q25" s="1" t="s">
        <v>34</v>
      </c>
    </row>
    <row r="26" spans="1:17" ht="19.5" customHeight="1">
      <c r="A26" s="18" t="s">
        <v>112</v>
      </c>
      <c r="B26" s="1" t="s">
        <v>113</v>
      </c>
      <c r="C26" s="17" t="s">
        <v>65</v>
      </c>
      <c r="D26" s="23">
        <v>37355</v>
      </c>
      <c r="E26" s="23">
        <v>37678</v>
      </c>
      <c r="F26" s="3" t="s">
        <v>97</v>
      </c>
      <c r="H26" s="14">
        <v>17565000</v>
      </c>
      <c r="I26" s="14">
        <f>175650+3527134.04+536664.77+677492.5+711789.05+1207265.66+2075408.6+2013927.66+912299.26+376555.26+231874.84+105608.81+527523.19+149622.74+308097.42+126683.6+120162.97+422782.75+372417.4+82355.62+319907.01+148485.9+137704.31+19687.1+69677.62+40091.17+188661.05+20647.65</f>
        <v>15606177.950000001</v>
      </c>
      <c r="J26" s="23">
        <v>37515</v>
      </c>
      <c r="K26" s="23">
        <v>37553</v>
      </c>
      <c r="L26" s="25">
        <v>37559</v>
      </c>
      <c r="M26" s="25"/>
      <c r="N26" s="23">
        <v>38747</v>
      </c>
      <c r="P26" s="1" t="s">
        <v>33</v>
      </c>
      <c r="Q26" s="1" t="s">
        <v>53</v>
      </c>
    </row>
    <row r="27" spans="1:17" s="85" customFormat="1" ht="19.5" customHeight="1">
      <c r="A27" s="18" t="s">
        <v>150</v>
      </c>
      <c r="B27" s="85" t="s">
        <v>151</v>
      </c>
      <c r="C27" s="86" t="s">
        <v>67</v>
      </c>
      <c r="D27" s="25">
        <v>37861</v>
      </c>
      <c r="E27" s="25">
        <v>38516</v>
      </c>
      <c r="F27" s="87" t="s">
        <v>97</v>
      </c>
      <c r="G27" s="87" t="s">
        <v>102</v>
      </c>
      <c r="H27" s="88">
        <v>2500000</v>
      </c>
      <c r="I27" s="88">
        <f>25000+576847.63+152562.72+170617.75+286082.97+173265.95+343619.5+114682+254165.66+211062.49+190093.33</f>
        <v>2498000</v>
      </c>
      <c r="J27" s="25">
        <v>38414</v>
      </c>
      <c r="K27" s="25">
        <v>38449</v>
      </c>
      <c r="L27" s="25">
        <v>38455</v>
      </c>
      <c r="M27" s="25"/>
      <c r="N27" s="25"/>
      <c r="O27" s="25"/>
      <c r="P27" s="89" t="s">
        <v>92</v>
      </c>
      <c r="Q27" s="85" t="s">
        <v>173</v>
      </c>
    </row>
    <row r="28" spans="1:17" ht="19.5" customHeight="1">
      <c r="A28" s="116" t="s">
        <v>107</v>
      </c>
      <c r="B28" s="11" t="s">
        <v>108</v>
      </c>
      <c r="C28" s="17" t="s">
        <v>65</v>
      </c>
      <c r="D28" s="22">
        <v>37580</v>
      </c>
      <c r="E28" s="22">
        <v>38049</v>
      </c>
      <c r="F28" s="12" t="s">
        <v>97</v>
      </c>
      <c r="G28" s="12"/>
      <c r="H28" s="15">
        <f>350000</f>
        <v>350000</v>
      </c>
      <c r="I28" s="15">
        <f>3500+62943.44+12484.97+146799.77+17756.56+26633.34+44204.25+4973.55+12377.62+16326.5+2000</f>
        <v>350000</v>
      </c>
      <c r="J28" s="22">
        <v>37890</v>
      </c>
      <c r="K28" s="22">
        <v>37939</v>
      </c>
      <c r="L28" s="24">
        <v>37944</v>
      </c>
      <c r="M28" s="25">
        <v>38464</v>
      </c>
      <c r="N28" s="23">
        <v>38569</v>
      </c>
      <c r="O28" s="23">
        <v>40291</v>
      </c>
      <c r="P28" s="11" t="s">
        <v>92</v>
      </c>
      <c r="Q28" s="11" t="s">
        <v>44</v>
      </c>
    </row>
    <row r="29" spans="1:17" ht="19.5" customHeight="1">
      <c r="A29" s="19" t="s">
        <v>88</v>
      </c>
      <c r="B29" s="11" t="s">
        <v>87</v>
      </c>
      <c r="C29" s="16" t="s">
        <v>64</v>
      </c>
      <c r="D29" s="22">
        <v>36864</v>
      </c>
      <c r="E29" s="22">
        <v>37390</v>
      </c>
      <c r="F29" s="12" t="s">
        <v>97</v>
      </c>
      <c r="G29" s="12"/>
      <c r="H29" s="15">
        <v>4066000</v>
      </c>
      <c r="I29" s="15">
        <f>40660+858130.92+1199290.69+1169832.4</f>
        <v>3267914.01</v>
      </c>
      <c r="J29" s="22">
        <v>37231</v>
      </c>
      <c r="K29" s="22">
        <v>37298</v>
      </c>
      <c r="L29" s="24">
        <v>37316</v>
      </c>
      <c r="M29" s="25"/>
      <c r="N29" s="23">
        <v>38195</v>
      </c>
      <c r="P29" s="11" t="s">
        <v>27</v>
      </c>
      <c r="Q29" s="11" t="s">
        <v>43</v>
      </c>
    </row>
    <row r="30" spans="1:17" ht="19.5" customHeight="1">
      <c r="A30" s="18" t="s">
        <v>110</v>
      </c>
      <c r="B30" s="1" t="s">
        <v>111</v>
      </c>
      <c r="C30" s="16" t="s">
        <v>65</v>
      </c>
      <c r="D30" s="23">
        <v>36921</v>
      </c>
      <c r="E30" s="23">
        <v>38100</v>
      </c>
      <c r="F30" s="3" t="s">
        <v>97</v>
      </c>
      <c r="H30" s="14">
        <v>1615000</v>
      </c>
      <c r="I30" s="14">
        <f>16150+243333.05+177172.04+477497.6+6195.11+130115.15+122678.01+40066.84+51635.12+153738.6+58748.98</f>
        <v>1477330.5000000002</v>
      </c>
      <c r="J30" s="23">
        <v>37907</v>
      </c>
      <c r="K30" s="23">
        <v>37957</v>
      </c>
      <c r="L30" s="25">
        <v>38026</v>
      </c>
      <c r="M30" s="25"/>
      <c r="P30" s="11" t="s">
        <v>149</v>
      </c>
      <c r="Q30" s="1" t="s">
        <v>50</v>
      </c>
    </row>
    <row r="31" spans="1:17" ht="19.5" customHeight="1">
      <c r="A31" s="10" t="s">
        <v>86</v>
      </c>
      <c r="B31" s="11" t="s">
        <v>55</v>
      </c>
      <c r="C31" s="11">
        <v>99</v>
      </c>
      <c r="D31" s="22">
        <v>36250</v>
      </c>
      <c r="E31" s="22">
        <v>37007</v>
      </c>
      <c r="F31" s="12" t="s">
        <v>97</v>
      </c>
      <c r="G31" s="12"/>
      <c r="H31" s="15">
        <v>1525000</v>
      </c>
      <c r="I31" s="15">
        <f>15250+1484750</f>
        <v>1500000</v>
      </c>
      <c r="J31" s="22">
        <v>36641</v>
      </c>
      <c r="K31" s="22">
        <v>36364</v>
      </c>
      <c r="L31" s="25">
        <v>36367</v>
      </c>
      <c r="M31" s="25"/>
      <c r="N31" s="23">
        <v>37726</v>
      </c>
      <c r="P31" s="11" t="s">
        <v>33</v>
      </c>
      <c r="Q31" s="11" t="s">
        <v>54</v>
      </c>
    </row>
    <row r="32" spans="1:17" ht="19.5" customHeight="1">
      <c r="A32" s="19" t="s">
        <v>132</v>
      </c>
      <c r="B32" s="11" t="s">
        <v>133</v>
      </c>
      <c r="C32" s="16" t="s">
        <v>66</v>
      </c>
      <c r="D32" s="22">
        <v>37504</v>
      </c>
      <c r="E32" s="22">
        <v>37838</v>
      </c>
      <c r="F32" s="12" t="s">
        <v>97</v>
      </c>
      <c r="G32" s="20" t="s">
        <v>102</v>
      </c>
      <c r="H32" s="15">
        <f>7500000</f>
        <v>7500000</v>
      </c>
      <c r="I32" s="15">
        <f>75000+3102014.82+689067.39+472242.91+767192.75+1155186.19+327357.78+272948.81+97143.58+72643.95+110817+120613.11+235000</f>
        <v>7497228.290000001</v>
      </c>
      <c r="J32" s="22">
        <v>37775</v>
      </c>
      <c r="K32" s="22">
        <v>37551</v>
      </c>
      <c r="L32" s="25">
        <v>37595</v>
      </c>
      <c r="M32" s="25">
        <v>38315</v>
      </c>
      <c r="N32" s="23">
        <v>38705</v>
      </c>
      <c r="P32" s="11" t="s">
        <v>92</v>
      </c>
      <c r="Q32" s="11" t="s">
        <v>50</v>
      </c>
    </row>
    <row r="33" spans="1:17" ht="19.5" customHeight="1">
      <c r="A33" s="10" t="s">
        <v>90</v>
      </c>
      <c r="B33" s="11" t="s">
        <v>91</v>
      </c>
      <c r="C33" s="16" t="s">
        <v>64</v>
      </c>
      <c r="D33" s="22">
        <v>36861</v>
      </c>
      <c r="E33" s="22">
        <v>38023</v>
      </c>
      <c r="F33" s="12" t="s">
        <v>97</v>
      </c>
      <c r="G33" s="12"/>
      <c r="H33" s="15">
        <v>340000</v>
      </c>
      <c r="I33" s="15">
        <f>3400+9600+91423.04+233576.96</f>
        <v>338000</v>
      </c>
      <c r="J33" s="22">
        <v>37876</v>
      </c>
      <c r="K33" s="22">
        <v>37918</v>
      </c>
      <c r="L33" s="25">
        <v>37924</v>
      </c>
      <c r="M33" s="25"/>
      <c r="P33" s="11" t="s">
        <v>92</v>
      </c>
      <c r="Q33" s="11" t="s">
        <v>34</v>
      </c>
    </row>
    <row r="34" spans="1:16" ht="19.5" customHeight="1">
      <c r="A34" s="18"/>
      <c r="C34" s="17"/>
      <c r="L34" s="25"/>
      <c r="M34" s="25"/>
      <c r="P34" s="11"/>
    </row>
    <row r="35" spans="1:17" ht="32.25" customHeight="1">
      <c r="A35" s="27" t="s">
        <v>206</v>
      </c>
      <c r="B35" s="28"/>
      <c r="C35" s="29"/>
      <c r="D35" s="30"/>
      <c r="E35" s="31"/>
      <c r="F35" s="32"/>
      <c r="G35" s="32"/>
      <c r="H35" s="33"/>
      <c r="I35" s="33"/>
      <c r="J35" s="34"/>
      <c r="K35" s="31"/>
      <c r="L35" s="31"/>
      <c r="M35" s="31"/>
      <c r="N35" s="31"/>
      <c r="O35" s="34"/>
      <c r="P35" s="31"/>
      <c r="Q35" s="31"/>
    </row>
    <row r="36" spans="1:19" ht="19.5" customHeight="1">
      <c r="A36" s="10" t="s">
        <v>172</v>
      </c>
      <c r="B36" s="11" t="s">
        <v>166</v>
      </c>
      <c r="C36" s="17" t="s">
        <v>67</v>
      </c>
      <c r="D36" s="22">
        <v>37861</v>
      </c>
      <c r="E36" s="22">
        <v>38714</v>
      </c>
      <c r="F36" s="12" t="s">
        <v>97</v>
      </c>
      <c r="G36" s="12" t="s">
        <v>102</v>
      </c>
      <c r="H36" s="15">
        <v>1250000</v>
      </c>
      <c r="I36" s="15">
        <f>12500+163484+65054+192865</f>
        <v>433903</v>
      </c>
      <c r="J36" s="22">
        <v>38462</v>
      </c>
      <c r="K36" s="22">
        <v>38622</v>
      </c>
      <c r="L36" s="25">
        <v>38687</v>
      </c>
      <c r="M36" s="25"/>
      <c r="O36" s="22"/>
      <c r="P36" s="11" t="s">
        <v>195</v>
      </c>
      <c r="Q36" s="11" t="s">
        <v>116</v>
      </c>
      <c r="R36" s="13"/>
      <c r="S36" s="11"/>
    </row>
    <row r="37" spans="1:17" ht="19.5" customHeight="1">
      <c r="A37" s="19" t="s">
        <v>160</v>
      </c>
      <c r="B37" s="11" t="s">
        <v>161</v>
      </c>
      <c r="C37" s="16" t="s">
        <v>67</v>
      </c>
      <c r="D37" s="22">
        <v>37866</v>
      </c>
      <c r="E37" s="22">
        <v>38555</v>
      </c>
      <c r="F37" s="12" t="s">
        <v>99</v>
      </c>
      <c r="G37" s="12" t="s">
        <v>102</v>
      </c>
      <c r="H37" s="15">
        <v>600000</v>
      </c>
      <c r="I37" s="15">
        <f>6000+100353.95+78991.93+108646.6+32960.76+116119.95</f>
        <v>443073.19</v>
      </c>
      <c r="J37" s="22">
        <v>37175</v>
      </c>
      <c r="K37" s="22">
        <v>38518</v>
      </c>
      <c r="L37" s="24">
        <v>38510</v>
      </c>
      <c r="M37" s="24"/>
      <c r="N37" s="22"/>
      <c r="O37" s="22"/>
      <c r="P37" s="11" t="s">
        <v>33</v>
      </c>
      <c r="Q37" s="11" t="s">
        <v>95</v>
      </c>
    </row>
    <row r="38" spans="1:17" ht="19.5" customHeight="1">
      <c r="A38" s="10" t="s">
        <v>179</v>
      </c>
      <c r="B38" s="11" t="s">
        <v>180</v>
      </c>
      <c r="C38" s="17" t="s">
        <v>68</v>
      </c>
      <c r="D38" s="22">
        <v>38078</v>
      </c>
      <c r="E38" s="22">
        <v>38644</v>
      </c>
      <c r="F38" s="12" t="s">
        <v>97</v>
      </c>
      <c r="G38" s="12" t="s">
        <v>102</v>
      </c>
      <c r="H38" s="15">
        <f>6500000</f>
        <v>6500000</v>
      </c>
      <c r="I38" s="15">
        <f>65000+726014.8+121959.03</f>
        <v>912973.8300000001</v>
      </c>
      <c r="J38" s="22">
        <v>38504</v>
      </c>
      <c r="K38" s="22">
        <v>38607</v>
      </c>
      <c r="L38" s="25">
        <v>38628</v>
      </c>
      <c r="M38" s="25"/>
      <c r="P38" s="11" t="s">
        <v>149</v>
      </c>
      <c r="Q38" s="11" t="s">
        <v>42</v>
      </c>
    </row>
    <row r="39" spans="1:17" ht="19.5" customHeight="1">
      <c r="A39" s="2" t="s">
        <v>192</v>
      </c>
      <c r="B39" s="26" t="s">
        <v>199</v>
      </c>
      <c r="C39" s="17" t="s">
        <v>68</v>
      </c>
      <c r="D39" s="23">
        <v>37957</v>
      </c>
      <c r="E39" s="23">
        <v>38567</v>
      </c>
      <c r="F39" s="3" t="s">
        <v>97</v>
      </c>
      <c r="G39" s="3" t="s">
        <v>102</v>
      </c>
      <c r="H39" s="14">
        <v>250000</v>
      </c>
      <c r="I39" s="14">
        <f>2500+18092+29666.9+106670+17019.12</f>
        <v>173948.02</v>
      </c>
      <c r="J39" s="23">
        <v>38467</v>
      </c>
      <c r="K39" s="23">
        <v>38499</v>
      </c>
      <c r="L39" s="25">
        <v>38511</v>
      </c>
      <c r="M39" s="25"/>
      <c r="P39" s="1" t="s">
        <v>33</v>
      </c>
      <c r="Q39" s="1" t="s">
        <v>201</v>
      </c>
    </row>
    <row r="40" spans="1:17" ht="19.5" customHeight="1">
      <c r="A40" s="2" t="s">
        <v>134</v>
      </c>
      <c r="B40" s="1" t="s">
        <v>135</v>
      </c>
      <c r="C40" s="17" t="s">
        <v>66</v>
      </c>
      <c r="D40" s="23">
        <v>37567</v>
      </c>
      <c r="E40" s="23">
        <v>38419</v>
      </c>
      <c r="F40" s="3" t="s">
        <v>97</v>
      </c>
      <c r="G40" s="3" t="s">
        <v>102</v>
      </c>
      <c r="H40" s="14">
        <v>2033000</v>
      </c>
      <c r="I40" s="14">
        <f>20330+25075+8118.08+64825+18050+22006.16+388929.4+99258.51+91178.82+234099.8+222332.65+13844.99+109783.64+152821.88+30262.6+109423.74+17390.96+6313.87+2150.07</f>
        <v>1636195.17</v>
      </c>
      <c r="J40" s="23">
        <v>38334</v>
      </c>
      <c r="K40" s="23">
        <v>38380</v>
      </c>
      <c r="L40" s="25">
        <v>38426</v>
      </c>
      <c r="M40" s="25"/>
      <c r="P40" s="11" t="s">
        <v>149</v>
      </c>
      <c r="Q40" s="1" t="s">
        <v>42</v>
      </c>
    </row>
    <row r="41" spans="1:17" ht="19.5" customHeight="1">
      <c r="A41" s="2" t="s">
        <v>200</v>
      </c>
      <c r="B41" s="1" t="s">
        <v>186</v>
      </c>
      <c r="C41" s="17" t="s">
        <v>68</v>
      </c>
      <c r="D41" s="23">
        <v>38078</v>
      </c>
      <c r="E41" s="23">
        <v>38530</v>
      </c>
      <c r="F41" s="3" t="s">
        <v>97</v>
      </c>
      <c r="G41" s="3" t="s">
        <v>102</v>
      </c>
      <c r="H41" s="14">
        <f>2750000</f>
        <v>2750000</v>
      </c>
      <c r="I41" s="14">
        <f>27500+529322.49+186095+435300+11168.37+357108+8298.16+333812.84+312232.33</f>
        <v>2200837.19</v>
      </c>
      <c r="J41" s="23">
        <v>38425</v>
      </c>
      <c r="K41" s="23">
        <v>38455</v>
      </c>
      <c r="L41" s="25">
        <v>38497</v>
      </c>
      <c r="M41" s="25"/>
      <c r="P41" s="11" t="s">
        <v>33</v>
      </c>
      <c r="Q41" s="1" t="s">
        <v>50</v>
      </c>
    </row>
    <row r="42" spans="1:17" ht="19.5" customHeight="1">
      <c r="A42" s="2" t="s">
        <v>126</v>
      </c>
      <c r="B42" s="1" t="s">
        <v>127</v>
      </c>
      <c r="C42" s="17" t="s">
        <v>66</v>
      </c>
      <c r="D42" s="23">
        <v>37300</v>
      </c>
      <c r="E42" s="23">
        <v>38125</v>
      </c>
      <c r="F42" s="3" t="s">
        <v>97</v>
      </c>
      <c r="G42" s="3" t="s">
        <v>102</v>
      </c>
      <c r="H42" s="14">
        <v>5133000</v>
      </c>
      <c r="I42" s="14">
        <f>51330+231125.69+546713.66+611279+283954.09+323917.65+272852.3+365391.3+35271.35+59638.1+216051.4+625154.88+131978+506075.21</f>
        <v>4260732.63</v>
      </c>
      <c r="J42" s="23">
        <v>37811</v>
      </c>
      <c r="K42" s="23">
        <v>37988</v>
      </c>
      <c r="L42" s="25">
        <v>37907</v>
      </c>
      <c r="M42" s="25"/>
      <c r="P42" s="11" t="s">
        <v>149</v>
      </c>
      <c r="Q42" s="1" t="s">
        <v>51</v>
      </c>
    </row>
    <row r="43" spans="1:17" ht="19.5" customHeight="1">
      <c r="A43" s="2" t="s">
        <v>154</v>
      </c>
      <c r="B43" s="1" t="s">
        <v>155</v>
      </c>
      <c r="C43" s="17" t="s">
        <v>67</v>
      </c>
      <c r="D43" s="23">
        <v>37869</v>
      </c>
      <c r="E43" s="23">
        <v>38533</v>
      </c>
      <c r="F43" s="3" t="s">
        <v>97</v>
      </c>
      <c r="G43" s="3" t="s">
        <v>102</v>
      </c>
      <c r="H43" s="14">
        <v>480000</v>
      </c>
      <c r="I43" s="14">
        <f>4800+131321.75+40935.75+210642.89</f>
        <v>387700.39</v>
      </c>
      <c r="J43" s="23">
        <v>38254</v>
      </c>
      <c r="K43" s="23">
        <v>38440</v>
      </c>
      <c r="L43" s="25">
        <v>38544</v>
      </c>
      <c r="M43" s="25"/>
      <c r="P43" s="1" t="s">
        <v>26</v>
      </c>
      <c r="Q43" s="1" t="s">
        <v>95</v>
      </c>
    </row>
    <row r="44" spans="1:17" ht="19.5" customHeight="1">
      <c r="A44" s="19" t="s">
        <v>121</v>
      </c>
      <c r="B44" s="11" t="s">
        <v>122</v>
      </c>
      <c r="C44" s="16" t="s">
        <v>65</v>
      </c>
      <c r="D44" s="22">
        <v>37300</v>
      </c>
      <c r="E44" s="22">
        <v>38344</v>
      </c>
      <c r="F44" s="12" t="s">
        <v>97</v>
      </c>
      <c r="G44" s="12" t="s">
        <v>102</v>
      </c>
      <c r="H44" s="15">
        <f>1223000</f>
        <v>1223000</v>
      </c>
      <c r="I44" s="15">
        <f>12230+261340.25+184121.4</f>
        <v>457691.65</v>
      </c>
      <c r="J44" s="22">
        <v>37844</v>
      </c>
      <c r="K44" s="22">
        <v>37894</v>
      </c>
      <c r="L44" s="24">
        <v>38250</v>
      </c>
      <c r="M44" s="24"/>
      <c r="N44" s="22"/>
      <c r="O44" s="22"/>
      <c r="P44" s="11" t="s">
        <v>26</v>
      </c>
      <c r="Q44" s="11" t="s">
        <v>53</v>
      </c>
    </row>
    <row r="45" spans="1:17" ht="19.5" customHeight="1">
      <c r="A45" s="19" t="s">
        <v>59</v>
      </c>
      <c r="B45" s="11" t="s">
        <v>191</v>
      </c>
      <c r="C45" s="16" t="s">
        <v>68</v>
      </c>
      <c r="D45" s="22">
        <v>38077</v>
      </c>
      <c r="E45" s="22">
        <v>38548</v>
      </c>
      <c r="F45" s="12" t="s">
        <v>97</v>
      </c>
      <c r="G45" s="12" t="s">
        <v>102</v>
      </c>
      <c r="H45" s="15">
        <v>464000</v>
      </c>
      <c r="I45" s="15">
        <f>4640+21983.48+36862.77+16237.93</f>
        <v>79724.18</v>
      </c>
      <c r="J45" s="22">
        <v>38412</v>
      </c>
      <c r="K45" s="22">
        <v>38443</v>
      </c>
      <c r="L45" s="24">
        <v>38471</v>
      </c>
      <c r="M45" s="24"/>
      <c r="N45" s="22"/>
      <c r="O45" s="22"/>
      <c r="P45" s="11" t="s">
        <v>149</v>
      </c>
      <c r="Q45" s="11" t="s">
        <v>62</v>
      </c>
    </row>
    <row r="46" spans="1:19" ht="19.5" customHeight="1">
      <c r="A46" s="19" t="s">
        <v>162</v>
      </c>
      <c r="B46" s="11" t="s">
        <v>163</v>
      </c>
      <c r="C46" s="16" t="s">
        <v>67</v>
      </c>
      <c r="D46" s="22">
        <v>37866</v>
      </c>
      <c r="E46" s="22">
        <v>38715</v>
      </c>
      <c r="F46" s="12" t="s">
        <v>97</v>
      </c>
      <c r="G46" s="12" t="s">
        <v>102</v>
      </c>
      <c r="H46" s="15">
        <v>550000</v>
      </c>
      <c r="I46" s="15">
        <f>5500+59122.28</f>
        <v>64622.28</v>
      </c>
      <c r="J46" s="22">
        <v>38545</v>
      </c>
      <c r="K46" s="22">
        <v>38656</v>
      </c>
      <c r="L46" s="24">
        <v>38663</v>
      </c>
      <c r="M46" s="24"/>
      <c r="N46" s="22"/>
      <c r="O46" s="22"/>
      <c r="P46" s="11" t="s">
        <v>26</v>
      </c>
      <c r="Q46" s="11" t="s">
        <v>175</v>
      </c>
      <c r="R46" s="13"/>
      <c r="S46" s="11"/>
    </row>
    <row r="47" spans="1:17" ht="19.5" customHeight="1">
      <c r="A47" s="19" t="s">
        <v>182</v>
      </c>
      <c r="B47" s="11" t="s">
        <v>183</v>
      </c>
      <c r="C47" s="17" t="s">
        <v>68</v>
      </c>
      <c r="D47" s="22">
        <v>38077</v>
      </c>
      <c r="E47" s="22">
        <v>38604</v>
      </c>
      <c r="F47" s="12" t="s">
        <v>97</v>
      </c>
      <c r="G47" s="12" t="s">
        <v>102</v>
      </c>
      <c r="H47" s="15">
        <v>356000</v>
      </c>
      <c r="I47" s="15">
        <f>3560+29041+36667.04</f>
        <v>69268.04000000001</v>
      </c>
      <c r="J47" s="22">
        <v>38385</v>
      </c>
      <c r="K47" s="22">
        <v>38447</v>
      </c>
      <c r="L47" s="24">
        <v>38481</v>
      </c>
      <c r="M47" s="24"/>
      <c r="N47" s="22"/>
      <c r="O47" s="22"/>
      <c r="P47" s="11" t="s">
        <v>196</v>
      </c>
      <c r="Q47" s="11" t="s">
        <v>193</v>
      </c>
    </row>
    <row r="48" spans="1:17" ht="19.5" customHeight="1">
      <c r="A48" s="18" t="s">
        <v>187</v>
      </c>
      <c r="B48" s="1" t="s">
        <v>188</v>
      </c>
      <c r="C48" s="17" t="s">
        <v>68</v>
      </c>
      <c r="D48" s="23">
        <v>38021</v>
      </c>
      <c r="E48" s="23">
        <v>38419</v>
      </c>
      <c r="F48" s="3" t="s">
        <v>97</v>
      </c>
      <c r="G48" s="3" t="s">
        <v>102</v>
      </c>
      <c r="H48" s="14">
        <v>414000</v>
      </c>
      <c r="I48" s="14">
        <f>4140+95388.47+11511.83+7118.21+21270.44+6083.97+24632.01+23598.5+2269.91+13542+9191.09+1708.4+17909+6506.45</f>
        <v>244870.28000000003</v>
      </c>
      <c r="J48" s="23">
        <v>38278</v>
      </c>
      <c r="K48" s="23">
        <v>38330</v>
      </c>
      <c r="L48" s="25">
        <v>38348</v>
      </c>
      <c r="M48" s="25"/>
      <c r="P48" s="1" t="s">
        <v>26</v>
      </c>
      <c r="Q48" s="1" t="s">
        <v>197</v>
      </c>
    </row>
    <row r="49" spans="1:17" ht="19.5" customHeight="1">
      <c r="A49" s="19" t="s">
        <v>156</v>
      </c>
      <c r="B49" s="11" t="s">
        <v>157</v>
      </c>
      <c r="C49" s="17" t="s">
        <v>67</v>
      </c>
      <c r="D49" s="22">
        <v>37785</v>
      </c>
      <c r="E49" s="22">
        <v>38616</v>
      </c>
      <c r="F49" s="12" t="s">
        <v>97</v>
      </c>
      <c r="G49" s="12" t="s">
        <v>102</v>
      </c>
      <c r="H49" s="15">
        <f>2230000</f>
        <v>2230000</v>
      </c>
      <c r="I49" s="15">
        <f>22300+410682.08+396208.95+150047.52+276218.68+372029.47</f>
        <v>1627486.7</v>
      </c>
      <c r="J49" s="22">
        <v>38576</v>
      </c>
      <c r="K49" s="22">
        <v>38636</v>
      </c>
      <c r="L49" s="24">
        <v>38631</v>
      </c>
      <c r="M49" s="24"/>
      <c r="N49" s="22"/>
      <c r="O49" s="22"/>
      <c r="P49" s="11" t="s">
        <v>26</v>
      </c>
      <c r="Q49" s="11" t="s">
        <v>50</v>
      </c>
    </row>
    <row r="50" spans="1:17" ht="19.5" customHeight="1">
      <c r="A50" s="19" t="s">
        <v>164</v>
      </c>
      <c r="B50" s="11" t="s">
        <v>165</v>
      </c>
      <c r="C50" s="17" t="s">
        <v>67</v>
      </c>
      <c r="D50" s="22">
        <v>37866</v>
      </c>
      <c r="E50" s="22">
        <v>38366</v>
      </c>
      <c r="F50" s="12" t="s">
        <v>97</v>
      </c>
      <c r="G50" s="12" t="s">
        <v>102</v>
      </c>
      <c r="H50" s="15">
        <f>8438000</f>
        <v>8438000</v>
      </c>
      <c r="I50" s="15">
        <f>84380+4054097.19+2509217.4</f>
        <v>6647694.59</v>
      </c>
      <c r="J50" s="22">
        <v>38272</v>
      </c>
      <c r="K50" s="24">
        <v>38303</v>
      </c>
      <c r="L50" s="24">
        <v>38303</v>
      </c>
      <c r="M50" s="25"/>
      <c r="P50" s="11" t="s">
        <v>92</v>
      </c>
      <c r="Q50" s="11" t="s">
        <v>43</v>
      </c>
    </row>
    <row r="51" spans="1:17" ht="19.5" customHeight="1">
      <c r="A51" s="19" t="s">
        <v>189</v>
      </c>
      <c r="B51" s="11" t="s">
        <v>190</v>
      </c>
      <c r="C51" s="16" t="s">
        <v>68</v>
      </c>
      <c r="D51" s="22">
        <v>38078</v>
      </c>
      <c r="E51" s="22">
        <v>38555</v>
      </c>
      <c r="F51" s="12" t="s">
        <v>99</v>
      </c>
      <c r="G51" s="12" t="s">
        <v>102</v>
      </c>
      <c r="H51" s="15">
        <v>600000</v>
      </c>
      <c r="I51" s="15">
        <f>6000+80202.97+94076.7+11062.75+37707.21+47775.5+97486.75+45000+45244.3</f>
        <v>464556.18</v>
      </c>
      <c r="J51" s="22">
        <v>38513</v>
      </c>
      <c r="K51" s="22">
        <v>38574</v>
      </c>
      <c r="L51" s="24">
        <v>38574</v>
      </c>
      <c r="M51" s="25"/>
      <c r="P51" s="11" t="s">
        <v>26</v>
      </c>
      <c r="Q51" s="11" t="s">
        <v>49</v>
      </c>
    </row>
    <row r="52" spans="1:17" ht="19.5" customHeight="1">
      <c r="A52" s="19" t="s">
        <v>177</v>
      </c>
      <c r="B52" s="11" t="s">
        <v>152</v>
      </c>
      <c r="C52" s="16" t="s">
        <v>67</v>
      </c>
      <c r="D52" s="22" t="s">
        <v>178</v>
      </c>
      <c r="E52" s="22">
        <v>38505</v>
      </c>
      <c r="F52" s="12" t="s">
        <v>97</v>
      </c>
      <c r="G52" s="20" t="s">
        <v>102</v>
      </c>
      <c r="H52" s="15">
        <v>4000000</v>
      </c>
      <c r="I52" s="15">
        <f>40000+296260.99+692568+386860.48+470251.06+257501.55+341316.09+617758.14+295752.91</f>
        <v>3398269.22</v>
      </c>
      <c r="J52" s="22">
        <v>38422</v>
      </c>
      <c r="K52" s="22">
        <v>38455</v>
      </c>
      <c r="L52" s="24">
        <v>38496</v>
      </c>
      <c r="M52" s="25"/>
      <c r="P52" s="11" t="s">
        <v>33</v>
      </c>
      <c r="Q52" s="11" t="s">
        <v>202</v>
      </c>
    </row>
    <row r="53" spans="1:17" ht="19.5" customHeight="1">
      <c r="A53" s="10" t="s">
        <v>101</v>
      </c>
      <c r="B53" s="11" t="s">
        <v>89</v>
      </c>
      <c r="C53" s="16" t="s">
        <v>66</v>
      </c>
      <c r="D53" s="22">
        <v>36864</v>
      </c>
      <c r="E53" s="22">
        <v>38049</v>
      </c>
      <c r="F53" s="12" t="s">
        <v>97</v>
      </c>
      <c r="G53" s="12" t="s">
        <v>102</v>
      </c>
      <c r="H53" s="15">
        <v>11264000</v>
      </c>
      <c r="I53" s="15">
        <f>112640+2538507+1053127+310014+1979796+882705+243572+334800+1274898</f>
        <v>8730059</v>
      </c>
      <c r="J53" s="22">
        <v>37314</v>
      </c>
      <c r="K53" s="22">
        <v>37280</v>
      </c>
      <c r="L53" s="25">
        <v>37292</v>
      </c>
      <c r="M53" s="25"/>
      <c r="P53" s="11" t="s">
        <v>33</v>
      </c>
      <c r="Q53" s="11" t="s">
        <v>93</v>
      </c>
    </row>
    <row r="54" spans="1:17" ht="19.5" customHeight="1">
      <c r="A54" s="10" t="s">
        <v>140</v>
      </c>
      <c r="B54" s="11" t="s">
        <v>141</v>
      </c>
      <c r="C54" s="16" t="s">
        <v>66</v>
      </c>
      <c r="D54" s="22">
        <v>37572</v>
      </c>
      <c r="E54" s="22">
        <v>38505</v>
      </c>
      <c r="F54" s="12" t="s">
        <v>98</v>
      </c>
      <c r="G54" s="12" t="s">
        <v>102</v>
      </c>
      <c r="H54" s="15">
        <f>1740000+860000</f>
        <v>2600000</v>
      </c>
      <c r="I54" s="15">
        <f>8600+(17400+44534.71+110819.09+125957.89+23626.52)+607947.84+21175.35+177734.76+16352.3+20242.96+179978.69+63075.16+256928.05</f>
        <v>1674373.32</v>
      </c>
      <c r="J54" s="22">
        <v>38224</v>
      </c>
      <c r="K54" s="22">
        <v>38371</v>
      </c>
      <c r="L54" s="23">
        <v>38455</v>
      </c>
      <c r="P54" s="11" t="s">
        <v>33</v>
      </c>
      <c r="Q54" s="11" t="s">
        <v>203</v>
      </c>
    </row>
    <row r="55" spans="1:17" ht="19.5" customHeight="1">
      <c r="A55" s="10" t="s">
        <v>138</v>
      </c>
      <c r="B55" s="11" t="s">
        <v>139</v>
      </c>
      <c r="C55" s="16" t="s">
        <v>66</v>
      </c>
      <c r="D55" s="22">
        <v>37565</v>
      </c>
      <c r="E55" s="22">
        <v>38616</v>
      </c>
      <c r="F55" s="12" t="s">
        <v>204</v>
      </c>
      <c r="G55" s="12" t="s">
        <v>102</v>
      </c>
      <c r="H55" s="15">
        <v>766000</v>
      </c>
      <c r="I55" s="15">
        <f>7660+279607.81</f>
        <v>287267.81</v>
      </c>
      <c r="J55" s="22">
        <v>38051</v>
      </c>
      <c r="K55" s="22"/>
      <c r="L55" s="23">
        <v>38566</v>
      </c>
      <c r="P55" s="11" t="s">
        <v>149</v>
      </c>
      <c r="Q55" s="11" t="s">
        <v>34</v>
      </c>
    </row>
  </sheetData>
  <sheetProtection/>
  <printOptions horizontalCentered="1"/>
  <pageMargins left="0.236220472440945" right="0.236220472440945" top="0.511811023622047" bottom="0.511811023622047" header="0" footer="0"/>
  <pageSetup horizontalDpi="300" verticalDpi="300" orientation="landscape" scale="70" r:id="rId3"/>
  <headerFooter alignWithMargins="0">
    <oddHeader>&amp;C&amp;"Arial,Bold"&amp;11IOWA DEPARTMENT OF NATURAL RESOURCES
DWSRF STATUS REPORT
March 1, 2006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 Christoffersen</dc:creator>
  <cp:keywords/>
  <dc:description/>
  <cp:lastModifiedBy>Enright, Theresa [DNR]</cp:lastModifiedBy>
  <cp:lastPrinted>2024-02-26T21:33:33Z</cp:lastPrinted>
  <dcterms:created xsi:type="dcterms:W3CDTF">2005-02-18T19:31:19Z</dcterms:created>
  <dcterms:modified xsi:type="dcterms:W3CDTF">2024-03-20T13:56:51Z</dcterms:modified>
  <cp:category/>
  <cp:version/>
  <cp:contentType/>
  <cp:contentStatus/>
</cp:coreProperties>
</file>